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Turnierdaten" sheetId="1" r:id="rId1"/>
    <sheet name="Ergebnisse" sheetId="2" r:id="rId2"/>
    <sheet name="Spielplan(Ausdruck)" sheetId="3" r:id="rId3"/>
  </sheets>
  <definedNames>
    <definedName name="_xlnm.Print_Area" localSheetId="2">'Spielplan(Ausdruck)'!$A$1:$V$20</definedName>
  </definedNames>
  <calcPr calcId="145621"/>
</workbook>
</file>

<file path=xl/calcChain.xml><?xml version="1.0" encoding="utf-8"?>
<calcChain xmlns="http://schemas.openxmlformats.org/spreadsheetml/2006/main">
  <c r="K17" i="3" l="1"/>
  <c r="K16" i="3"/>
  <c r="K15" i="3"/>
  <c r="K14" i="3"/>
  <c r="K13" i="3"/>
  <c r="J13" i="3"/>
  <c r="J14" i="3"/>
  <c r="J15" i="3"/>
  <c r="J16" i="3"/>
  <c r="J17" i="3"/>
  <c r="H17" i="3"/>
  <c r="H16" i="3"/>
  <c r="H15" i="3"/>
  <c r="H14" i="3"/>
  <c r="H13" i="3"/>
  <c r="U17" i="3"/>
  <c r="S17" i="3"/>
  <c r="R17" i="3"/>
  <c r="P17" i="3"/>
  <c r="O17" i="3"/>
  <c r="M17" i="3"/>
  <c r="U16" i="3"/>
  <c r="S16" i="3"/>
  <c r="R16" i="3"/>
  <c r="P16" i="3"/>
  <c r="O16" i="3"/>
  <c r="M16" i="3"/>
  <c r="U15" i="3"/>
  <c r="S15" i="3"/>
  <c r="R15" i="3"/>
  <c r="P15" i="3"/>
  <c r="O15" i="3"/>
  <c r="M15" i="3"/>
  <c r="U14" i="3"/>
  <c r="S14" i="3"/>
  <c r="R14" i="3"/>
  <c r="P14" i="3"/>
  <c r="O14" i="3"/>
  <c r="M14" i="3"/>
  <c r="U13" i="3"/>
  <c r="S13" i="3"/>
  <c r="R13" i="3"/>
  <c r="P13" i="3"/>
  <c r="O13" i="3"/>
  <c r="M13" i="3"/>
  <c r="U11" i="3"/>
  <c r="S11" i="3"/>
  <c r="R11" i="3"/>
  <c r="P11" i="3"/>
  <c r="O11" i="3"/>
  <c r="M11" i="3"/>
  <c r="U10" i="3"/>
  <c r="S10" i="3"/>
  <c r="R10" i="3"/>
  <c r="P10" i="3"/>
  <c r="O10" i="3"/>
  <c r="M10" i="3"/>
  <c r="U9" i="3"/>
  <c r="S9" i="3"/>
  <c r="R9" i="3"/>
  <c r="P9" i="3"/>
  <c r="O9" i="3"/>
  <c r="M9" i="3"/>
  <c r="U8" i="3"/>
  <c r="S8" i="3"/>
  <c r="R8" i="3"/>
  <c r="P8" i="3"/>
  <c r="O8" i="3"/>
  <c r="M8" i="3"/>
  <c r="U7" i="3"/>
  <c r="S7" i="3"/>
  <c r="R7" i="3"/>
  <c r="P7" i="3"/>
  <c r="O7" i="3"/>
  <c r="M7" i="3"/>
  <c r="U6" i="3"/>
  <c r="S6" i="3"/>
  <c r="R6" i="3"/>
  <c r="P6" i="3"/>
  <c r="O6" i="3"/>
  <c r="M6" i="3"/>
  <c r="E36" i="2" l="1"/>
  <c r="E35" i="2"/>
  <c r="E31" i="2"/>
  <c r="E30" i="2"/>
  <c r="E26" i="2" l="1"/>
  <c r="E25" i="2"/>
  <c r="E24" i="2"/>
  <c r="E21" i="2"/>
  <c r="E20" i="2"/>
  <c r="AI15" i="2"/>
  <c r="AG15" i="2"/>
  <c r="AF15" i="2"/>
  <c r="AD15" i="2"/>
  <c r="Q15" i="2" s="1"/>
  <c r="AC15" i="2"/>
  <c r="AA15" i="2"/>
  <c r="W15" i="2"/>
  <c r="U15" i="2"/>
  <c r="S15" i="2"/>
  <c r="AK15" i="2" l="1"/>
  <c r="AM15" i="2"/>
  <c r="C19" i="3"/>
  <c r="D9" i="1"/>
  <c r="C12" i="3"/>
  <c r="K7" i="3" s="1"/>
  <c r="C11" i="3"/>
  <c r="K9" i="3" s="1"/>
  <c r="C8" i="3"/>
  <c r="K10" i="3" s="1"/>
  <c r="C7" i="3"/>
  <c r="K6" i="3" s="1"/>
  <c r="C13" i="3"/>
  <c r="K11" i="3" s="1"/>
  <c r="J6" i="3" l="1"/>
  <c r="H9" i="3"/>
  <c r="H7" i="3"/>
  <c r="J8" i="3"/>
  <c r="J7" i="3"/>
  <c r="H8" i="3"/>
  <c r="J9" i="3"/>
  <c r="J10" i="3"/>
  <c r="AI14" i="2"/>
  <c r="AG14" i="2"/>
  <c r="AF14" i="2"/>
  <c r="AD14" i="2"/>
  <c r="AC14" i="2"/>
  <c r="S14" i="2" s="1"/>
  <c r="AA14" i="2"/>
  <c r="W14" i="2"/>
  <c r="U14" i="2"/>
  <c r="AI13" i="2"/>
  <c r="AG13" i="2"/>
  <c r="AF13" i="2"/>
  <c r="AD13" i="2"/>
  <c r="AC13" i="2"/>
  <c r="S13" i="2" s="1"/>
  <c r="AA13" i="2"/>
  <c r="W13" i="2"/>
  <c r="U13" i="2"/>
  <c r="AI12" i="2"/>
  <c r="AG12" i="2"/>
  <c r="AF12" i="2"/>
  <c r="AD12" i="2"/>
  <c r="AC12" i="2"/>
  <c r="S12" i="2" s="1"/>
  <c r="AA12" i="2"/>
  <c r="W12" i="2"/>
  <c r="U12" i="2"/>
  <c r="AI11" i="2"/>
  <c r="AG11" i="2"/>
  <c r="AF11" i="2"/>
  <c r="AD11" i="2"/>
  <c r="AC11" i="2"/>
  <c r="S11" i="2" s="1"/>
  <c r="AA11" i="2"/>
  <c r="W11" i="2"/>
  <c r="U11" i="2"/>
  <c r="E5" i="2"/>
  <c r="E7" i="2" l="1"/>
  <c r="J11" i="3"/>
  <c r="E10" i="2" s="1"/>
  <c r="Q11" i="2"/>
  <c r="Q14" i="2"/>
  <c r="Q13" i="2"/>
  <c r="Q12" i="2"/>
  <c r="AM14" i="2" l="1"/>
  <c r="AK14" i="2"/>
  <c r="AK13" i="2"/>
  <c r="AM13" i="2"/>
  <c r="AK12" i="2"/>
  <c r="AM12" i="2"/>
  <c r="AK11" i="2"/>
  <c r="AM11" i="2"/>
  <c r="E19" i="2"/>
  <c r="AI10" i="2"/>
  <c r="AG10" i="2"/>
  <c r="AF10" i="2"/>
  <c r="AD10" i="2"/>
  <c r="AC10" i="2"/>
  <c r="S10" i="2" s="1"/>
  <c r="AA10" i="2"/>
  <c r="AI9" i="2"/>
  <c r="AG9" i="2"/>
  <c r="AF9" i="2"/>
  <c r="AD9" i="2"/>
  <c r="AC9" i="2"/>
  <c r="AA9" i="2"/>
  <c r="AI8" i="2"/>
  <c r="AG8" i="2"/>
  <c r="AF8" i="2"/>
  <c r="AD8" i="2"/>
  <c r="AC8" i="2"/>
  <c r="AA8" i="2"/>
  <c r="AI7" i="2"/>
  <c r="AG7" i="2"/>
  <c r="AF7" i="2"/>
  <c r="AD7" i="2"/>
  <c r="AC7" i="2"/>
  <c r="AA7" i="2"/>
  <c r="AI6" i="2"/>
  <c r="AG6" i="2"/>
  <c r="AF6" i="2"/>
  <c r="AD6" i="2"/>
  <c r="AC6" i="2"/>
  <c r="AA6" i="2"/>
  <c r="AI5" i="2"/>
  <c r="AG5" i="2"/>
  <c r="AF5" i="2"/>
  <c r="AD5" i="2"/>
  <c r="AC5" i="2"/>
  <c r="AA5" i="2"/>
  <c r="S8" i="2" l="1"/>
  <c r="S9" i="2"/>
  <c r="S5" i="2"/>
  <c r="S6" i="2"/>
  <c r="S7" i="2"/>
  <c r="L24" i="2" l="1"/>
  <c r="J26" i="2"/>
  <c r="J21" i="2"/>
  <c r="L19" i="2"/>
  <c r="Q7" i="2"/>
  <c r="W10" i="2"/>
  <c r="W9" i="2"/>
  <c r="W8" i="2"/>
  <c r="W7" i="2"/>
  <c r="W6" i="2"/>
  <c r="U10" i="2"/>
  <c r="U9" i="2"/>
  <c r="U8" i="2"/>
  <c r="U7" i="2"/>
  <c r="U6" i="2"/>
  <c r="W5" i="2"/>
  <c r="C6" i="3"/>
  <c r="U5" i="2"/>
  <c r="M20" i="2" l="1"/>
  <c r="M25" i="2"/>
  <c r="O25" i="2"/>
  <c r="O20" i="2"/>
  <c r="J20" i="2"/>
  <c r="AM7" i="2"/>
  <c r="AK7" i="2"/>
  <c r="M26" i="2"/>
  <c r="O24" i="2"/>
  <c r="O26" i="2"/>
  <c r="P26" i="2" s="1"/>
  <c r="AF26" i="2" s="1"/>
  <c r="M24" i="2"/>
  <c r="O19" i="2"/>
  <c r="M21" i="2"/>
  <c r="O21" i="2"/>
  <c r="M19" i="2"/>
  <c r="H10" i="3"/>
  <c r="K8" i="3"/>
  <c r="C8" i="2"/>
  <c r="H6" i="3"/>
  <c r="C5" i="2" s="1"/>
  <c r="Q9" i="2"/>
  <c r="Q5" i="2"/>
  <c r="Q6" i="2"/>
  <c r="Q8" i="2"/>
  <c r="Q10" i="2"/>
  <c r="C16" i="3"/>
  <c r="D6" i="1"/>
  <c r="F6" i="3"/>
  <c r="P25" i="2" l="1"/>
  <c r="AF25" i="2" s="1"/>
  <c r="P24" i="2"/>
  <c r="AF24" i="2" s="1"/>
  <c r="AK10" i="2"/>
  <c r="AM10" i="2"/>
  <c r="L25" i="2"/>
  <c r="AM9" i="2"/>
  <c r="G20" i="2" s="1"/>
  <c r="AK9" i="2"/>
  <c r="L20" i="2"/>
  <c r="J25" i="2"/>
  <c r="AK8" i="2"/>
  <c r="G25" i="2" s="1"/>
  <c r="AA25" i="2" s="1"/>
  <c r="AM8" i="2"/>
  <c r="L26" i="2"/>
  <c r="AC26" i="2" s="1"/>
  <c r="J24" i="2"/>
  <c r="AC24" i="2" s="1"/>
  <c r="AK6" i="2"/>
  <c r="AM6" i="2"/>
  <c r="G26" i="2" s="1"/>
  <c r="AA26" i="2" s="1"/>
  <c r="J19" i="2"/>
  <c r="AC19" i="2" s="1"/>
  <c r="L21" i="2"/>
  <c r="AM5" i="2"/>
  <c r="G21" i="2" s="1"/>
  <c r="AK5" i="2"/>
  <c r="G19" i="2" s="1"/>
  <c r="C9" i="2"/>
  <c r="H11" i="3"/>
  <c r="C10" i="2" s="1"/>
  <c r="E8" i="2"/>
  <c r="C7" i="2"/>
  <c r="E9" i="2"/>
  <c r="AC20" i="2"/>
  <c r="E6" i="2"/>
  <c r="F7" i="3"/>
  <c r="F8" i="3" s="1"/>
  <c r="F9" i="3" s="1"/>
  <c r="F10" i="3" s="1"/>
  <c r="F11" i="3" s="1"/>
  <c r="F13" i="3" s="1"/>
  <c r="F14" i="3" s="1"/>
  <c r="F15" i="3" s="1"/>
  <c r="F16" i="3" s="1"/>
  <c r="F17" i="3" s="1"/>
  <c r="F18" i="3" s="1"/>
  <c r="P20" i="2"/>
  <c r="AF20" i="2" s="1"/>
  <c r="P19" i="2"/>
  <c r="AF19" i="2" s="1"/>
  <c r="P21" i="2"/>
  <c r="AF21" i="2" s="1"/>
  <c r="C6" i="2"/>
  <c r="AC25" i="2" l="1"/>
  <c r="G24" i="2"/>
  <c r="AA24" i="2" s="1"/>
  <c r="AJ24" i="2" s="1"/>
  <c r="AJ25" i="2"/>
  <c r="AJ26" i="2"/>
  <c r="AA19" i="2"/>
  <c r="AJ19" i="2" s="1"/>
  <c r="AA20" i="2"/>
  <c r="AJ20" i="2" s="1"/>
  <c r="AA21" i="2"/>
  <c r="AC21" i="2"/>
  <c r="D26" i="2" l="1"/>
  <c r="D24" i="2"/>
  <c r="D25" i="2"/>
  <c r="AJ21" i="2"/>
  <c r="D21" i="2" s="1"/>
  <c r="E13" i="2" l="1"/>
  <c r="E43" i="2" s="1"/>
  <c r="E34" i="2"/>
  <c r="D19" i="2"/>
  <c r="E29" i="2" s="1"/>
  <c r="D20" i="2"/>
  <c r="E11" i="2" l="1"/>
  <c r="C15" i="2"/>
  <c r="E40" i="2" s="1"/>
  <c r="C12" i="2"/>
  <c r="E14" i="2"/>
  <c r="E41" i="2" s="1"/>
  <c r="L34" i="2"/>
  <c r="G34" i="2"/>
  <c r="M34" i="2"/>
  <c r="J34" i="2"/>
  <c r="O34" i="2"/>
  <c r="M35" i="2"/>
  <c r="O35" i="2"/>
  <c r="J35" i="2"/>
  <c r="L35" i="2"/>
  <c r="G35" i="2"/>
  <c r="M36" i="2"/>
  <c r="G36" i="2"/>
  <c r="J36" i="2"/>
  <c r="L36" i="2"/>
  <c r="O36" i="2"/>
  <c r="C13" i="2"/>
  <c r="E44" i="2" s="1"/>
  <c r="C14" i="2"/>
  <c r="E42" i="2" s="1"/>
  <c r="G30" i="2"/>
  <c r="L31" i="2" s="1"/>
  <c r="L29" i="2" l="1"/>
  <c r="P34" i="2"/>
  <c r="E12" i="2"/>
  <c r="E15" i="2"/>
  <c r="E39" i="2" s="1"/>
  <c r="O29" i="2"/>
  <c r="C11" i="2"/>
  <c r="J29" i="2"/>
  <c r="P35" i="2"/>
  <c r="P36" i="2"/>
  <c r="G29" i="2"/>
  <c r="M29" i="2"/>
  <c r="P29" i="2" s="1"/>
  <c r="O31" i="2"/>
  <c r="M31" i="2"/>
  <c r="G31" i="2"/>
  <c r="J31" i="2"/>
  <c r="L30" i="2"/>
  <c r="O30" i="2"/>
  <c r="M30" i="2"/>
  <c r="J30" i="2"/>
  <c r="P31" i="2" l="1"/>
  <c r="P30" i="2"/>
</calcChain>
</file>

<file path=xl/sharedStrings.xml><?xml version="1.0" encoding="utf-8"?>
<sst xmlns="http://schemas.openxmlformats.org/spreadsheetml/2006/main" count="308" uniqueCount="67">
  <si>
    <t>Startzeit</t>
  </si>
  <si>
    <t>Modi:</t>
  </si>
  <si>
    <t>Dauer</t>
  </si>
  <si>
    <t>2 Gewinnsätze bis 21</t>
  </si>
  <si>
    <t>min</t>
  </si>
  <si>
    <t>2 Sätze bis 21</t>
  </si>
  <si>
    <t>2 Gewinnsätze bis 15</t>
  </si>
  <si>
    <t>2 Sätze bis 15</t>
  </si>
  <si>
    <t>Pause zwischen Spielen</t>
  </si>
  <si>
    <t>Poolplay</t>
  </si>
  <si>
    <t>Gruppe A</t>
  </si>
  <si>
    <t>-</t>
  </si>
  <si>
    <t>1.</t>
  </si>
  <si>
    <t>2.</t>
  </si>
  <si>
    <t>3.</t>
  </si>
  <si>
    <t>4.</t>
  </si>
  <si>
    <t>5.</t>
  </si>
  <si>
    <t>6.</t>
  </si>
  <si>
    <t>Spiel-Nr.</t>
  </si>
  <si>
    <t>Spielpaarungen</t>
  </si>
  <si>
    <t>Schiedsgericht</t>
  </si>
  <si>
    <t>h:min</t>
  </si>
  <si>
    <t>Ergebnisse</t>
  </si>
  <si>
    <t>Satz 1</t>
  </si>
  <si>
    <t>:</t>
  </si>
  <si>
    <t>Satz 2</t>
  </si>
  <si>
    <t>Satz 3</t>
  </si>
  <si>
    <t>Sätze</t>
  </si>
  <si>
    <t>Bälle</t>
  </si>
  <si>
    <t>Satz1</t>
  </si>
  <si>
    <t>Satz2</t>
  </si>
  <si>
    <t>Satz3</t>
  </si>
  <si>
    <t>Siege</t>
  </si>
  <si>
    <t>Diff</t>
  </si>
  <si>
    <t>Nebenrechnungen</t>
  </si>
  <si>
    <t>Sortierkriterien</t>
  </si>
  <si>
    <t>Hier wurden Erfahrungswerte eingesetzt, 
die der Ausrichter ggf. auch anpassen kann!!!</t>
  </si>
  <si>
    <t>=ungefähres Turnierende</t>
  </si>
  <si>
    <t>ca.</t>
  </si>
  <si>
    <t>7.</t>
  </si>
  <si>
    <t>8.</t>
  </si>
  <si>
    <t>9.</t>
  </si>
  <si>
    <t>10.</t>
  </si>
  <si>
    <t>Gruppe B</t>
  </si>
  <si>
    <t>Spielpaarungen - Gruppenphase</t>
  </si>
  <si>
    <t>Spielpaarungen - Platzierungsspiele</t>
  </si>
  <si>
    <t>11.</t>
  </si>
  <si>
    <t>Modus Gruppenphase</t>
  </si>
  <si>
    <t>Modus Platzierungsspiele</t>
  </si>
  <si>
    <t>Modus Gruppenphase:</t>
  </si>
  <si>
    <t>Modus Platzierungsspiele:</t>
  </si>
  <si>
    <t>Tabelle Gruppe A</t>
  </si>
  <si>
    <t>Tabelle Gruppe B</t>
  </si>
  <si>
    <t>Abschlußtabelle Gruppe A</t>
  </si>
  <si>
    <t>Abschlußtabelle Gruppe B</t>
  </si>
  <si>
    <t>Endplatzierung</t>
  </si>
  <si>
    <t>Bitte nur rote farbige Felder ausfüllen!!!</t>
  </si>
  <si>
    <r>
      <t xml:space="preserve">Hier muss </t>
    </r>
    <r>
      <rPr>
        <b/>
        <u/>
        <sz val="16"/>
        <color rgb="FF000000"/>
        <rFont val="Calibri"/>
        <family val="2"/>
      </rPr>
      <t>nichts</t>
    </r>
    <r>
      <rPr>
        <b/>
        <sz val="16"/>
        <color rgb="FF000000"/>
        <rFont val="Calibri"/>
        <family val="2"/>
      </rPr>
      <t xml:space="preserve"> eingetragen werden… alle Informationen für diese Seite werden unter "Turnierdaten" erfasst!!!</t>
    </r>
  </si>
  <si>
    <t>hier Bitte nur die
Satzergebnisse eintragen!</t>
  </si>
  <si>
    <t>Seed 1</t>
  </si>
  <si>
    <t>Seed 2</t>
  </si>
  <si>
    <t>Seed 3</t>
  </si>
  <si>
    <t>Seed 4</t>
  </si>
  <si>
    <t>Seed 5</t>
  </si>
  <si>
    <t>Seed 6</t>
  </si>
  <si>
    <t>Teams</t>
  </si>
  <si>
    <t>WVJ-Jugendbeachtour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</si>
</sst>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:&quot;mm"/>
    <numFmt numFmtId="165" formatCode="h:mm;@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4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27" xfId="0" applyBorder="1"/>
    <xf numFmtId="0" fontId="0" fillId="9" borderId="16" xfId="0" applyFill="1" applyBorder="1"/>
    <xf numFmtId="0" fontId="0" fillId="9" borderId="31" xfId="0" applyFill="1" applyBorder="1"/>
    <xf numFmtId="0" fontId="0" fillId="9" borderId="17" xfId="0" applyFill="1" applyBorder="1"/>
    <xf numFmtId="0" fontId="0" fillId="9" borderId="15" xfId="0" applyFill="1" applyBorder="1"/>
    <xf numFmtId="0" fontId="0" fillId="9" borderId="19" xfId="0" applyFill="1" applyBorder="1"/>
    <xf numFmtId="0" fontId="0" fillId="9" borderId="18" xfId="0" applyFill="1" applyBorder="1"/>
    <xf numFmtId="0" fontId="0" fillId="9" borderId="32" xfId="0" applyFill="1" applyBorder="1"/>
    <xf numFmtId="0" fontId="0" fillId="9" borderId="21" xfId="0" applyFill="1" applyBorder="1"/>
    <xf numFmtId="0" fontId="0" fillId="9" borderId="20" xfId="0" applyFill="1" applyBorder="1"/>
    <xf numFmtId="0" fontId="0" fillId="9" borderId="12" xfId="0" applyFill="1" applyBorder="1"/>
    <xf numFmtId="0" fontId="0" fillId="9" borderId="0" xfId="0" applyFill="1" applyBorder="1"/>
    <xf numFmtId="0" fontId="0" fillId="9" borderId="13" xfId="0" applyFill="1" applyBorder="1"/>
    <xf numFmtId="0" fontId="0" fillId="0" borderId="10" xfId="0" applyBorder="1"/>
    <xf numFmtId="0" fontId="0" fillId="0" borderId="25" xfId="0" applyBorder="1"/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5" fillId="0" borderId="0" xfId="0" applyFont="1" applyBorder="1"/>
    <xf numFmtId="0" fontId="0" fillId="0" borderId="13" xfId="0" applyBorder="1"/>
    <xf numFmtId="0" fontId="0" fillId="0" borderId="0" xfId="0" applyFill="1" applyBorder="1"/>
    <xf numFmtId="0" fontId="0" fillId="0" borderId="26" xfId="0" applyBorder="1"/>
    <xf numFmtId="0" fontId="0" fillId="0" borderId="14" xfId="0" applyBorder="1"/>
    <xf numFmtId="0" fontId="0" fillId="9" borderId="31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6" borderId="39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45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6" borderId="38" xfId="0" applyFont="1" applyFill="1" applyBorder="1" applyAlignment="1">
      <alignment vertical="center"/>
    </xf>
    <xf numFmtId="0" fontId="0" fillId="6" borderId="3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ill="1" applyBorder="1"/>
    <xf numFmtId="0" fontId="0" fillId="0" borderId="25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26" xfId="0" applyFill="1" applyBorder="1"/>
    <xf numFmtId="0" fontId="0" fillId="0" borderId="27" xfId="0" applyFill="1" applyBorder="1"/>
    <xf numFmtId="0" fontId="0" fillId="0" borderId="14" xfId="0" applyFill="1" applyBorder="1"/>
    <xf numFmtId="0" fontId="2" fillId="0" borderId="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2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0" fontId="3" fillId="0" borderId="2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/>
    <xf numFmtId="0" fontId="6" fillId="0" borderId="20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0" fillId="0" borderId="53" xfId="0" quotePrefix="1" applyFill="1" applyBorder="1" applyAlignment="1">
      <alignment horizontal="left" vertical="center"/>
    </xf>
    <xf numFmtId="0" fontId="0" fillId="0" borderId="54" xfId="0" applyFill="1" applyBorder="1"/>
    <xf numFmtId="0" fontId="0" fillId="3" borderId="2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9" borderId="15" xfId="0" applyFill="1" applyBorder="1" applyAlignment="1">
      <alignment horizontal="left"/>
    </xf>
    <xf numFmtId="0" fontId="0" fillId="9" borderId="31" xfId="0" applyFill="1" applyBorder="1" applyAlignment="1">
      <alignment horizontal="left"/>
    </xf>
    <xf numFmtId="0" fontId="0" fillId="9" borderId="32" xfId="0" applyFill="1" applyBorder="1" applyAlignment="1">
      <alignment horizontal="left"/>
    </xf>
    <xf numFmtId="0" fontId="0" fillId="4" borderId="42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left" vertical="center"/>
    </xf>
    <xf numFmtId="0" fontId="1" fillId="8" borderId="39" xfId="0" applyFont="1" applyFill="1" applyBorder="1" applyAlignment="1">
      <alignment horizontal="left" vertical="center"/>
    </xf>
    <xf numFmtId="0" fontId="0" fillId="8" borderId="5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0" fontId="1" fillId="0" borderId="56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0" borderId="43" xfId="0" applyFill="1" applyBorder="1"/>
    <xf numFmtId="164" fontId="3" fillId="0" borderId="44" xfId="0" applyNumberFormat="1" applyFont="1" applyFill="1" applyBorder="1" applyAlignment="1">
      <alignment horizontal="center" vertical="center"/>
    </xf>
    <xf numFmtId="0" fontId="0" fillId="0" borderId="59" xfId="0" applyFill="1" applyBorder="1"/>
    <xf numFmtId="164" fontId="3" fillId="0" borderId="57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5" borderId="18" xfId="0" applyFill="1" applyBorder="1"/>
    <xf numFmtId="0" fontId="0" fillId="6" borderId="18" xfId="0" applyFill="1" applyBorder="1"/>
    <xf numFmtId="0" fontId="0" fillId="6" borderId="20" xfId="0" applyFill="1" applyBorder="1"/>
    <xf numFmtId="0" fontId="0" fillId="5" borderId="60" xfId="0" applyFill="1" applyBorder="1"/>
    <xf numFmtId="0" fontId="0" fillId="11" borderId="10" xfId="0" applyFill="1" applyBorder="1"/>
    <xf numFmtId="164" fontId="3" fillId="11" borderId="11" xfId="0" applyNumberFormat="1" applyFont="1" applyFill="1" applyBorder="1" applyAlignment="1">
      <alignment horizontal="center" vertical="center"/>
    </xf>
    <xf numFmtId="0" fontId="0" fillId="11" borderId="43" xfId="0" applyFill="1" applyBorder="1" applyAlignment="1">
      <alignment horizontal="right"/>
    </xf>
    <xf numFmtId="164" fontId="2" fillId="11" borderId="44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5" fontId="0" fillId="2" borderId="64" xfId="0" applyNumberFormat="1" applyFill="1" applyBorder="1" applyAlignment="1">
      <alignment horizontal="right"/>
    </xf>
    <xf numFmtId="165" fontId="0" fillId="2" borderId="65" xfId="0" applyNumberFormat="1" applyFill="1" applyBorder="1" applyAlignment="1">
      <alignment horizontal="right"/>
    </xf>
    <xf numFmtId="165" fontId="0" fillId="2" borderId="66" xfId="0" applyNumberFormat="1" applyFill="1" applyBorder="1" applyAlignment="1">
      <alignment horizontal="right"/>
    </xf>
    <xf numFmtId="0" fontId="0" fillId="10" borderId="3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9" borderId="47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/>
    </xf>
    <xf numFmtId="0" fontId="3" fillId="9" borderId="40" xfId="0" applyFont="1" applyFill="1" applyBorder="1" applyAlignment="1">
      <alignment horizontal="center"/>
    </xf>
    <xf numFmtId="0" fontId="3" fillId="9" borderId="41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1">
    <cellStyle name="Standard" xfId="0" builtinId="0" customBuiltin="1"/>
  </cellStyles>
  <dxfs count="11"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  <dxf>
      <numFmt numFmtId="0" formatCode="General"/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13606</xdr:colOff>
      <xdr:row>1</xdr:row>
      <xdr:rowOff>13607</xdr:rowOff>
    </xdr:from>
    <xdr:to>
      <xdr:col>2</xdr:col>
      <xdr:colOff>718456</xdr:colOff>
      <xdr:row>2</xdr:row>
      <xdr:rowOff>337457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3463" y="217714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57149</xdr:colOff>
      <xdr:row>1</xdr:row>
      <xdr:rowOff>16329</xdr:rowOff>
    </xdr:from>
    <xdr:to>
      <xdr:col>20</xdr:col>
      <xdr:colOff>380999</xdr:colOff>
      <xdr:row>2</xdr:row>
      <xdr:rowOff>340179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96256" y="220436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06" zoomScaleNormal="106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3.7109375" customWidth="1"/>
    <col min="4" max="4" width="14.85546875" bestFit="1" customWidth="1"/>
    <col min="5" max="5" width="14.85546875" customWidth="1"/>
    <col min="6" max="6" width="2.7109375" customWidth="1"/>
    <col min="7" max="7" width="8.7109375" style="1" customWidth="1"/>
    <col min="8" max="8" width="22.28515625" bestFit="1" customWidth="1"/>
    <col min="9" max="9" width="5.7109375" customWidth="1"/>
    <col min="10" max="10" width="4.42578125" bestFit="1" customWidth="1"/>
    <col min="11" max="11" width="3.7109375" customWidth="1"/>
  </cols>
  <sheetData>
    <row r="1" spans="1:11" ht="15.75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20.100000000000001" customHeight="1" thickBot="1" x14ac:dyDescent="0.3">
      <c r="A2" s="60"/>
      <c r="B2" s="139" t="s">
        <v>65</v>
      </c>
      <c r="C2" s="4"/>
      <c r="D2" s="223" t="s">
        <v>0</v>
      </c>
      <c r="E2" s="224"/>
      <c r="F2" s="27"/>
      <c r="G2" s="233" t="s">
        <v>1</v>
      </c>
      <c r="H2" s="234"/>
      <c r="I2" s="231" t="s">
        <v>2</v>
      </c>
      <c r="J2" s="232"/>
      <c r="K2" s="62"/>
    </row>
    <row r="3" spans="1:11" ht="20.100000000000001" customHeight="1" x14ac:dyDescent="0.25">
      <c r="A3" s="60"/>
      <c r="B3" s="140" t="s">
        <v>59</v>
      </c>
      <c r="C3" s="27"/>
      <c r="D3" s="227">
        <v>0.375</v>
      </c>
      <c r="E3" s="228"/>
      <c r="F3" s="27"/>
      <c r="G3" s="91">
        <v>1</v>
      </c>
      <c r="H3" s="92" t="s">
        <v>3</v>
      </c>
      <c r="I3" s="209">
        <v>2.7777777777777776E-2</v>
      </c>
      <c r="J3" s="93" t="s">
        <v>4</v>
      </c>
      <c r="K3" s="62"/>
    </row>
    <row r="4" spans="1:11" ht="20.100000000000001" customHeight="1" x14ac:dyDescent="0.25">
      <c r="A4" s="60"/>
      <c r="B4" s="105" t="s">
        <v>60</v>
      </c>
      <c r="C4" s="27"/>
      <c r="D4" s="225" t="s">
        <v>47</v>
      </c>
      <c r="E4" s="226"/>
      <c r="F4" s="27"/>
      <c r="G4" s="94">
        <v>2</v>
      </c>
      <c r="H4" s="95" t="s">
        <v>5</v>
      </c>
      <c r="I4" s="210">
        <v>2.0833333333333332E-2</v>
      </c>
      <c r="J4" s="96" t="s">
        <v>4</v>
      </c>
      <c r="K4" s="62"/>
    </row>
    <row r="5" spans="1:11" ht="20.100000000000001" customHeight="1" x14ac:dyDescent="0.25">
      <c r="A5" s="60"/>
      <c r="B5" s="105" t="s">
        <v>61</v>
      </c>
      <c r="C5" s="27"/>
      <c r="D5" s="229">
        <v>4</v>
      </c>
      <c r="E5" s="230"/>
      <c r="F5" s="27"/>
      <c r="G5" s="94">
        <v>3</v>
      </c>
      <c r="H5" s="95" t="s">
        <v>6</v>
      </c>
      <c r="I5" s="210">
        <v>2.4305555555555556E-2</v>
      </c>
      <c r="J5" s="96" t="s">
        <v>4</v>
      </c>
      <c r="K5" s="62"/>
    </row>
    <row r="6" spans="1:11" ht="20.100000000000001" customHeight="1" thickBot="1" x14ac:dyDescent="0.3">
      <c r="A6" s="60"/>
      <c r="B6" s="105" t="s">
        <v>62</v>
      </c>
      <c r="C6" s="27"/>
      <c r="D6" s="120">
        <f>IF(D5=1,I3,IF(D5=2,I4,IF(D5=3,I5,IF(D5=4,I6,"Modus wählen!"))))</f>
        <v>25.017361111111111</v>
      </c>
      <c r="E6" s="98" t="s">
        <v>21</v>
      </c>
      <c r="F6" s="27"/>
      <c r="G6" s="94">
        <v>4</v>
      </c>
      <c r="H6" s="95" t="s">
        <v>7</v>
      </c>
      <c r="I6" s="210">
        <v>25.017361111111111</v>
      </c>
      <c r="J6" s="96" t="s">
        <v>4</v>
      </c>
      <c r="K6" s="62"/>
    </row>
    <row r="7" spans="1:11" ht="20.100000000000001" customHeight="1" thickBot="1" x14ac:dyDescent="0.3">
      <c r="A7" s="60"/>
      <c r="B7" s="105" t="s">
        <v>63</v>
      </c>
      <c r="C7" s="27"/>
      <c r="D7" s="225" t="s">
        <v>48</v>
      </c>
      <c r="E7" s="226"/>
      <c r="F7" s="27"/>
      <c r="G7" s="97"/>
      <c r="H7" s="99" t="s">
        <v>8</v>
      </c>
      <c r="I7" s="211">
        <v>6.9444444444444441E-3</v>
      </c>
      <c r="J7" s="100" t="s">
        <v>4</v>
      </c>
      <c r="K7" s="62"/>
    </row>
    <row r="8" spans="1:11" ht="20.100000000000001" customHeight="1" thickBot="1" x14ac:dyDescent="0.3">
      <c r="A8" s="60"/>
      <c r="B8" s="106" t="s">
        <v>64</v>
      </c>
      <c r="C8" s="27"/>
      <c r="D8" s="229">
        <v>1</v>
      </c>
      <c r="E8" s="230"/>
      <c r="F8" s="27"/>
      <c r="G8" s="27"/>
      <c r="H8" s="27"/>
      <c r="I8" s="138"/>
      <c r="J8" s="27"/>
      <c r="K8" s="62"/>
    </row>
    <row r="9" spans="1:11" ht="20.100000000000001" customHeight="1" thickBot="1" x14ac:dyDescent="0.3">
      <c r="A9" s="60"/>
      <c r="B9" s="27"/>
      <c r="C9" s="27"/>
      <c r="D9" s="120">
        <f>IF(D8=1,I3,IF(D8=2,I4,IF(D8=3,I5,IF(D8=4,I6,"Modus wählen!"))))</f>
        <v>2.7777777777777776E-2</v>
      </c>
      <c r="E9" s="98" t="s">
        <v>21</v>
      </c>
      <c r="F9" s="27"/>
      <c r="G9" s="27"/>
      <c r="H9" s="27"/>
      <c r="I9" s="27"/>
      <c r="J9" s="27"/>
      <c r="K9" s="62"/>
    </row>
    <row r="10" spans="1:11" ht="20.100000000000001" customHeight="1" thickBot="1" x14ac:dyDescent="0.3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1.25" customHeight="1" thickBot="1" x14ac:dyDescent="0.3">
      <c r="A11" s="1"/>
      <c r="B11" s="1"/>
      <c r="C11" s="1"/>
      <c r="D11" s="1"/>
      <c r="E11" s="1"/>
      <c r="F11" s="1"/>
      <c r="H11" s="1"/>
      <c r="I11" s="1"/>
      <c r="J11" s="1"/>
      <c r="K11" s="1"/>
    </row>
    <row r="12" spans="1:11" ht="15.75" customHeight="1" x14ac:dyDescent="0.25">
      <c r="A12" s="1"/>
      <c r="B12" s="235" t="s">
        <v>56</v>
      </c>
      <c r="C12" s="236"/>
      <c r="D12" s="236"/>
      <c r="E12" s="237"/>
      <c r="F12" s="1"/>
      <c r="G12" s="217" t="s">
        <v>36</v>
      </c>
      <c r="H12" s="218"/>
      <c r="I12" s="218"/>
      <c r="J12" s="218"/>
      <c r="K12" s="219"/>
    </row>
    <row r="13" spans="1:11" ht="15.75" thickBot="1" x14ac:dyDescent="0.3">
      <c r="A13" s="1"/>
      <c r="B13" s="238"/>
      <c r="C13" s="239"/>
      <c r="D13" s="239"/>
      <c r="E13" s="240"/>
      <c r="F13" s="1"/>
      <c r="G13" s="220"/>
      <c r="H13" s="221"/>
      <c r="I13" s="221"/>
      <c r="J13" s="221"/>
      <c r="K13" s="222"/>
    </row>
    <row r="14" spans="1:11" x14ac:dyDescent="0.25">
      <c r="A14" s="1"/>
      <c r="B14" s="1"/>
      <c r="C14" s="1"/>
      <c r="D14" s="1"/>
      <c r="E14" s="1"/>
      <c r="F14" s="1"/>
      <c r="H14" s="1"/>
      <c r="I14" s="1"/>
      <c r="J14" s="1"/>
      <c r="K14" s="1"/>
    </row>
  </sheetData>
  <mergeCells count="10">
    <mergeCell ref="G12:K13"/>
    <mergeCell ref="D2:E2"/>
    <mergeCell ref="D4:E4"/>
    <mergeCell ref="D3:E3"/>
    <mergeCell ref="D5:E5"/>
    <mergeCell ref="I2:J2"/>
    <mergeCell ref="G2:H2"/>
    <mergeCell ref="D7:E7"/>
    <mergeCell ref="D8:E8"/>
    <mergeCell ref="B12:E13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zoomScale="90" zoomScaleNormal="90" workbookViewId="0">
      <selection activeCell="G5" sqref="G5"/>
    </sheetView>
  </sheetViews>
  <sheetFormatPr baseColWidth="10" defaultRowHeight="15" x14ac:dyDescent="0.25"/>
  <cols>
    <col min="1" max="1" width="3.7109375" customWidth="1"/>
    <col min="2" max="2" width="8.85546875" bestFit="1" customWidth="1"/>
    <col min="3" max="3" width="30.7109375" customWidth="1"/>
    <col min="4" max="4" width="2.7109375" customWidth="1"/>
    <col min="5" max="5" width="30.7109375" customWidth="1"/>
    <col min="6" max="7" width="3.28515625" customWidth="1"/>
    <col min="8" max="8" width="1.5703125" bestFit="1" customWidth="1"/>
    <col min="9" max="10" width="3.28515625" customWidth="1"/>
    <col min="11" max="11" width="1.5703125" bestFit="1" customWidth="1"/>
    <col min="12" max="12" width="3.28515625" customWidth="1"/>
    <col min="13" max="13" width="4.28515625" customWidth="1"/>
    <col min="14" max="14" width="1.5703125" bestFit="1" customWidth="1"/>
    <col min="15" max="15" width="4.28515625" customWidth="1"/>
    <col min="16" max="16" width="2.7109375" customWidth="1"/>
    <col min="17" max="17" width="2" bestFit="1" customWidth="1"/>
    <col min="18" max="18" width="1.5703125" bestFit="1" customWidth="1"/>
    <col min="19" max="19" width="2" bestFit="1" customWidth="1"/>
    <col min="20" max="20" width="1.7109375" customWidth="1"/>
    <col min="21" max="21" width="3" bestFit="1" customWidth="1"/>
    <col min="22" max="22" width="1.5703125" bestFit="1" customWidth="1"/>
    <col min="23" max="23" width="3" bestFit="1" customWidth="1"/>
    <col min="24" max="24" width="3.7109375" customWidth="1"/>
    <col min="26" max="26" width="11.42578125" hidden="1" customWidth="1"/>
    <col min="27" max="27" width="4" hidden="1" customWidth="1"/>
    <col min="28" max="28" width="1.7109375" hidden="1" customWidth="1"/>
    <col min="29" max="29" width="2.85546875" hidden="1" customWidth="1"/>
    <col min="30" max="30" width="2" hidden="1" customWidth="1"/>
    <col min="31" max="31" width="1.7109375" hidden="1" customWidth="1"/>
    <col min="32" max="32" width="3.85546875" hidden="1" customWidth="1"/>
    <col min="33" max="33" width="2" hidden="1" customWidth="1"/>
    <col min="34" max="34" width="1.5703125" hidden="1" customWidth="1"/>
    <col min="35" max="35" width="2" hidden="1" customWidth="1"/>
    <col min="36" max="36" width="5.5703125" hidden="1" customWidth="1"/>
    <col min="37" max="37" width="4.42578125" hidden="1" customWidth="1"/>
    <col min="38" max="38" width="1.5703125" hidden="1" customWidth="1"/>
    <col min="39" max="39" width="4.42578125" hidden="1" customWidth="1"/>
    <col min="40" max="40" width="11.42578125" hidden="1" customWidth="1"/>
  </cols>
  <sheetData>
    <row r="1" spans="1:39" ht="20.100000000000001" customHeight="1" thickBot="1" x14ac:dyDescent="0.3">
      <c r="A1" s="19"/>
      <c r="B1" s="20"/>
      <c r="C1" s="20"/>
      <c r="D1" s="20"/>
      <c r="E1" s="20"/>
      <c r="F1" s="21"/>
      <c r="G1" s="278" t="s">
        <v>58</v>
      </c>
      <c r="H1" s="279"/>
      <c r="I1" s="279"/>
      <c r="J1" s="279"/>
      <c r="K1" s="279"/>
      <c r="L1" s="279"/>
      <c r="M1" s="279"/>
      <c r="N1" s="279"/>
      <c r="O1" s="280"/>
      <c r="P1" s="22"/>
      <c r="Q1" s="20"/>
      <c r="R1" s="20"/>
      <c r="S1" s="20"/>
      <c r="T1" s="20"/>
      <c r="U1" s="20"/>
      <c r="V1" s="20"/>
      <c r="W1" s="20"/>
      <c r="X1" s="23"/>
    </row>
    <row r="2" spans="1:39" ht="20.100000000000001" customHeight="1" thickBot="1" x14ac:dyDescent="0.35">
      <c r="A2" s="24"/>
      <c r="B2" s="25" t="s">
        <v>22</v>
      </c>
      <c r="C2" s="5"/>
      <c r="D2" s="5"/>
      <c r="E2" s="5"/>
      <c r="F2" s="3"/>
      <c r="G2" s="281"/>
      <c r="H2" s="282"/>
      <c r="I2" s="282"/>
      <c r="J2" s="282"/>
      <c r="K2" s="282"/>
      <c r="L2" s="282"/>
      <c r="M2" s="282"/>
      <c r="N2" s="282"/>
      <c r="O2" s="283"/>
      <c r="P2" s="3"/>
      <c r="Q2" s="5"/>
      <c r="R2" s="5"/>
      <c r="S2" s="5"/>
      <c r="T2" s="5"/>
      <c r="U2" s="5"/>
      <c r="V2" s="5"/>
      <c r="W2" s="5"/>
      <c r="X2" s="26"/>
      <c r="AA2" s="275" t="s">
        <v>34</v>
      </c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7"/>
    </row>
    <row r="3" spans="1:39" ht="20.100000000000001" customHeight="1" thickBot="1" x14ac:dyDescent="0.3">
      <c r="A3" s="24"/>
      <c r="B3" s="5"/>
      <c r="C3" s="5"/>
      <c r="D3" s="5"/>
      <c r="E3" s="5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1:39" ht="20.100000000000001" customHeight="1" thickBot="1" x14ac:dyDescent="0.3">
      <c r="A4" s="24"/>
      <c r="B4" s="175" t="s">
        <v>18</v>
      </c>
      <c r="C4" s="302" t="s">
        <v>19</v>
      </c>
      <c r="D4" s="302"/>
      <c r="E4" s="303"/>
      <c r="F4" s="5"/>
      <c r="G4" s="296" t="s">
        <v>23</v>
      </c>
      <c r="H4" s="288"/>
      <c r="I4" s="297"/>
      <c r="J4" s="296" t="s">
        <v>25</v>
      </c>
      <c r="K4" s="288"/>
      <c r="L4" s="289"/>
      <c r="M4" s="287" t="s">
        <v>26</v>
      </c>
      <c r="N4" s="288"/>
      <c r="O4" s="289"/>
      <c r="P4" s="34"/>
      <c r="Q4" s="290" t="s">
        <v>27</v>
      </c>
      <c r="R4" s="291"/>
      <c r="S4" s="292"/>
      <c r="T4" s="4"/>
      <c r="U4" s="290" t="s">
        <v>28</v>
      </c>
      <c r="V4" s="291"/>
      <c r="W4" s="292"/>
      <c r="X4" s="26"/>
      <c r="AA4" s="293" t="s">
        <v>29</v>
      </c>
      <c r="AB4" s="294"/>
      <c r="AC4" s="295"/>
      <c r="AD4" s="293" t="s">
        <v>30</v>
      </c>
      <c r="AE4" s="294"/>
      <c r="AF4" s="295"/>
      <c r="AG4" s="293" t="s">
        <v>31</v>
      </c>
      <c r="AH4" s="294"/>
      <c r="AI4" s="295"/>
      <c r="AJ4" s="17"/>
      <c r="AK4" s="293" t="s">
        <v>32</v>
      </c>
      <c r="AL4" s="294"/>
      <c r="AM4" s="295"/>
    </row>
    <row r="5" spans="1:39" ht="20.100000000000001" customHeight="1" x14ac:dyDescent="0.25">
      <c r="A5" s="24"/>
      <c r="B5" s="176" t="s">
        <v>12</v>
      </c>
      <c r="C5" s="121" t="str">
        <f>'Spielplan(Ausdruck)'!H6</f>
        <v>Seed 1</v>
      </c>
      <c r="D5" s="121" t="s">
        <v>11</v>
      </c>
      <c r="E5" s="122" t="str">
        <f>'Spielplan(Ausdruck)'!J6</f>
        <v>Seed 5</v>
      </c>
      <c r="F5" s="4"/>
      <c r="G5" s="191"/>
      <c r="H5" s="51" t="s">
        <v>24</v>
      </c>
      <c r="I5" s="194"/>
      <c r="J5" s="195"/>
      <c r="K5" s="52" t="s">
        <v>24</v>
      </c>
      <c r="L5" s="200"/>
      <c r="M5" s="201"/>
      <c r="N5" s="51" t="s">
        <v>24</v>
      </c>
      <c r="O5" s="206"/>
      <c r="P5" s="34"/>
      <c r="Q5" s="61">
        <f t="shared" ref="Q5:Q10" si="0">AA5+AD5+AG5</f>
        <v>0</v>
      </c>
      <c r="R5" s="78" t="s">
        <v>24</v>
      </c>
      <c r="S5" s="79">
        <f t="shared" ref="S5:S10" si="1">AC5+AF5+AI5</f>
        <v>0</v>
      </c>
      <c r="T5" s="4"/>
      <c r="U5" s="61">
        <f t="shared" ref="U5:U10" si="2">SUM(G5,J5,M5)</f>
        <v>0</v>
      </c>
      <c r="V5" s="78" t="s">
        <v>24</v>
      </c>
      <c r="W5" s="79">
        <f t="shared" ref="W5:W10" si="3">SUM(I5,L5,O5)</f>
        <v>0</v>
      </c>
      <c r="X5" s="26"/>
      <c r="AA5" s="7">
        <f t="shared" ref="AA5:AA10" si="4">IF(G5&gt;I5,1,0)</f>
        <v>0</v>
      </c>
      <c r="AB5" s="8" t="s">
        <v>24</v>
      </c>
      <c r="AC5" s="108">
        <f t="shared" ref="AC5:AC10" si="5">IF(I5&gt;G5,1,0)</f>
        <v>0</v>
      </c>
      <c r="AD5" s="8">
        <f t="shared" ref="AD5:AD10" si="6">IF(J5&gt;L5,1,0)</f>
        <v>0</v>
      </c>
      <c r="AE5" s="30" t="s">
        <v>24</v>
      </c>
      <c r="AF5" s="108">
        <f t="shared" ref="AF5:AF10" si="7">IF(L5&gt;J5,1,0)</f>
        <v>0</v>
      </c>
      <c r="AG5" s="8">
        <f t="shared" ref="AG5:AG10" si="8">IF(M5&gt;O5,1,0)</f>
        <v>0</v>
      </c>
      <c r="AH5" s="8" t="s">
        <v>24</v>
      </c>
      <c r="AI5" s="9">
        <f t="shared" ref="AI5:AI10" si="9">IF(O5&gt;M5,1,0)</f>
        <v>0</v>
      </c>
      <c r="AJ5" s="17"/>
      <c r="AK5" s="12">
        <f t="shared" ref="AK5:AK14" si="10">IF(G5="",0,IF(Q5&gt;S5,1,IF(Q5=S5,0.5,0)))</f>
        <v>0</v>
      </c>
      <c r="AL5" s="10" t="s">
        <v>24</v>
      </c>
      <c r="AM5" s="11">
        <f t="shared" ref="AM5:AM14" si="11">IF(G5="",0,IF(Q5&lt;S5,1,IF(Q5=S5,0.5,0)))</f>
        <v>0</v>
      </c>
    </row>
    <row r="6" spans="1:39" ht="20.100000000000001" customHeight="1" x14ac:dyDescent="0.25">
      <c r="A6" s="24"/>
      <c r="B6" s="84" t="s">
        <v>13</v>
      </c>
      <c r="C6" s="85" t="str">
        <f>'Spielplan(Ausdruck)'!H7</f>
        <v>Seed 2</v>
      </c>
      <c r="D6" s="85" t="s">
        <v>11</v>
      </c>
      <c r="E6" s="86" t="str">
        <f>'Spielplan(Ausdruck)'!J7</f>
        <v>Seed 6</v>
      </c>
      <c r="F6" s="4"/>
      <c r="G6" s="192"/>
      <c r="H6" s="53" t="s">
        <v>24</v>
      </c>
      <c r="I6" s="196"/>
      <c r="J6" s="197"/>
      <c r="K6" s="54" t="s">
        <v>24</v>
      </c>
      <c r="L6" s="202"/>
      <c r="M6" s="203"/>
      <c r="N6" s="53" t="s">
        <v>24</v>
      </c>
      <c r="O6" s="207"/>
      <c r="P6" s="34"/>
      <c r="Q6" s="63">
        <f t="shared" si="0"/>
        <v>0</v>
      </c>
      <c r="R6" s="65" t="s">
        <v>24</v>
      </c>
      <c r="S6" s="64">
        <f t="shared" si="1"/>
        <v>0</v>
      </c>
      <c r="T6" s="4"/>
      <c r="U6" s="63">
        <f t="shared" si="2"/>
        <v>0</v>
      </c>
      <c r="V6" s="65" t="s">
        <v>24</v>
      </c>
      <c r="W6" s="64">
        <f t="shared" si="3"/>
        <v>0</v>
      </c>
      <c r="X6" s="26"/>
      <c r="AA6" s="12">
        <f t="shared" si="4"/>
        <v>0</v>
      </c>
      <c r="AB6" s="10" t="s">
        <v>24</v>
      </c>
      <c r="AC6" s="107">
        <f t="shared" si="5"/>
        <v>0</v>
      </c>
      <c r="AD6" s="10">
        <f t="shared" si="6"/>
        <v>0</v>
      </c>
      <c r="AE6" s="31" t="s">
        <v>24</v>
      </c>
      <c r="AF6" s="107">
        <f t="shared" si="7"/>
        <v>0</v>
      </c>
      <c r="AG6" s="10">
        <f t="shared" si="8"/>
        <v>0</v>
      </c>
      <c r="AH6" s="10" t="s">
        <v>24</v>
      </c>
      <c r="AI6" s="11">
        <f t="shared" si="9"/>
        <v>0</v>
      </c>
      <c r="AJ6" s="17"/>
      <c r="AK6" s="12">
        <f t="shared" si="10"/>
        <v>0</v>
      </c>
      <c r="AL6" s="10" t="s">
        <v>24</v>
      </c>
      <c r="AM6" s="11">
        <f t="shared" si="11"/>
        <v>0</v>
      </c>
    </row>
    <row r="7" spans="1:39" ht="20.100000000000001" customHeight="1" x14ac:dyDescent="0.25">
      <c r="A7" s="24"/>
      <c r="B7" s="84" t="s">
        <v>14</v>
      </c>
      <c r="C7" s="85" t="str">
        <f>'Spielplan(Ausdruck)'!H8</f>
        <v>Seed 4</v>
      </c>
      <c r="D7" s="85" t="s">
        <v>11</v>
      </c>
      <c r="E7" s="86" t="str">
        <f>'Spielplan(Ausdruck)'!J8</f>
        <v>Seed 5</v>
      </c>
      <c r="F7" s="4"/>
      <c r="G7" s="192"/>
      <c r="H7" s="53" t="s">
        <v>24</v>
      </c>
      <c r="I7" s="196"/>
      <c r="J7" s="197"/>
      <c r="K7" s="54" t="s">
        <v>24</v>
      </c>
      <c r="L7" s="202"/>
      <c r="M7" s="203"/>
      <c r="N7" s="53" t="s">
        <v>24</v>
      </c>
      <c r="O7" s="207"/>
      <c r="P7" s="34"/>
      <c r="Q7" s="63">
        <f t="shared" si="0"/>
        <v>0</v>
      </c>
      <c r="R7" s="65" t="s">
        <v>24</v>
      </c>
      <c r="S7" s="64">
        <f t="shared" si="1"/>
        <v>0</v>
      </c>
      <c r="T7" s="4"/>
      <c r="U7" s="63">
        <f t="shared" si="2"/>
        <v>0</v>
      </c>
      <c r="V7" s="65" t="s">
        <v>24</v>
      </c>
      <c r="W7" s="64">
        <f t="shared" si="3"/>
        <v>0</v>
      </c>
      <c r="X7" s="26"/>
      <c r="AA7" s="12">
        <f t="shared" si="4"/>
        <v>0</v>
      </c>
      <c r="AB7" s="10" t="s">
        <v>24</v>
      </c>
      <c r="AC7" s="107">
        <f t="shared" si="5"/>
        <v>0</v>
      </c>
      <c r="AD7" s="10">
        <f t="shared" si="6"/>
        <v>0</v>
      </c>
      <c r="AE7" s="31" t="s">
        <v>24</v>
      </c>
      <c r="AF7" s="107">
        <f t="shared" si="7"/>
        <v>0</v>
      </c>
      <c r="AG7" s="10">
        <f t="shared" si="8"/>
        <v>0</v>
      </c>
      <c r="AH7" s="10" t="s">
        <v>24</v>
      </c>
      <c r="AI7" s="11">
        <f t="shared" si="9"/>
        <v>0</v>
      </c>
      <c r="AJ7" s="17"/>
      <c r="AK7" s="12">
        <f t="shared" si="10"/>
        <v>0</v>
      </c>
      <c r="AL7" s="10" t="s">
        <v>24</v>
      </c>
      <c r="AM7" s="11">
        <f t="shared" si="11"/>
        <v>0</v>
      </c>
    </row>
    <row r="8" spans="1:39" ht="20.100000000000001" customHeight="1" x14ac:dyDescent="0.25">
      <c r="A8" s="24"/>
      <c r="B8" s="84" t="s">
        <v>15</v>
      </c>
      <c r="C8" s="85" t="str">
        <f>'Spielplan(Ausdruck)'!H9</f>
        <v>Seed 3</v>
      </c>
      <c r="D8" s="85" t="s">
        <v>11</v>
      </c>
      <c r="E8" s="86" t="str">
        <f>'Spielplan(Ausdruck)'!J9</f>
        <v>Seed 6</v>
      </c>
      <c r="F8" s="4"/>
      <c r="G8" s="192"/>
      <c r="H8" s="53" t="s">
        <v>24</v>
      </c>
      <c r="I8" s="196"/>
      <c r="J8" s="197"/>
      <c r="K8" s="54" t="s">
        <v>24</v>
      </c>
      <c r="L8" s="202"/>
      <c r="M8" s="203"/>
      <c r="N8" s="53" t="s">
        <v>24</v>
      </c>
      <c r="O8" s="207"/>
      <c r="P8" s="34"/>
      <c r="Q8" s="63">
        <f t="shared" si="0"/>
        <v>0</v>
      </c>
      <c r="R8" s="65" t="s">
        <v>24</v>
      </c>
      <c r="S8" s="64">
        <f t="shared" si="1"/>
        <v>0</v>
      </c>
      <c r="T8" s="4"/>
      <c r="U8" s="63">
        <f t="shared" si="2"/>
        <v>0</v>
      </c>
      <c r="V8" s="65" t="s">
        <v>24</v>
      </c>
      <c r="W8" s="64">
        <f t="shared" si="3"/>
        <v>0</v>
      </c>
      <c r="X8" s="26"/>
      <c r="AA8" s="12">
        <f t="shared" si="4"/>
        <v>0</v>
      </c>
      <c r="AB8" s="10" t="s">
        <v>24</v>
      </c>
      <c r="AC8" s="107">
        <f t="shared" si="5"/>
        <v>0</v>
      </c>
      <c r="AD8" s="10">
        <f t="shared" si="6"/>
        <v>0</v>
      </c>
      <c r="AE8" s="31" t="s">
        <v>24</v>
      </c>
      <c r="AF8" s="107">
        <f t="shared" si="7"/>
        <v>0</v>
      </c>
      <c r="AG8" s="10">
        <f t="shared" si="8"/>
        <v>0</v>
      </c>
      <c r="AH8" s="10" t="s">
        <v>24</v>
      </c>
      <c r="AI8" s="11">
        <f t="shared" si="9"/>
        <v>0</v>
      </c>
      <c r="AJ8" s="17"/>
      <c r="AK8" s="12">
        <f t="shared" si="10"/>
        <v>0</v>
      </c>
      <c r="AL8" s="10" t="s">
        <v>24</v>
      </c>
      <c r="AM8" s="11">
        <f t="shared" si="11"/>
        <v>0</v>
      </c>
    </row>
    <row r="9" spans="1:39" ht="20.100000000000001" customHeight="1" x14ac:dyDescent="0.25">
      <c r="A9" s="24"/>
      <c r="B9" s="84" t="s">
        <v>16</v>
      </c>
      <c r="C9" s="85" t="str">
        <f>'Spielplan(Ausdruck)'!H10</f>
        <v>Seed 1</v>
      </c>
      <c r="D9" s="85" t="s">
        <v>11</v>
      </c>
      <c r="E9" s="86" t="str">
        <f>'Spielplan(Ausdruck)'!J10</f>
        <v>Seed 4</v>
      </c>
      <c r="F9" s="4"/>
      <c r="G9" s="192"/>
      <c r="H9" s="53" t="s">
        <v>24</v>
      </c>
      <c r="I9" s="196"/>
      <c r="J9" s="197"/>
      <c r="K9" s="54" t="s">
        <v>24</v>
      </c>
      <c r="L9" s="202"/>
      <c r="M9" s="203"/>
      <c r="N9" s="53" t="s">
        <v>24</v>
      </c>
      <c r="O9" s="207"/>
      <c r="P9" s="34"/>
      <c r="Q9" s="63">
        <f t="shared" si="0"/>
        <v>0</v>
      </c>
      <c r="R9" s="65" t="s">
        <v>24</v>
      </c>
      <c r="S9" s="64">
        <f t="shared" si="1"/>
        <v>0</v>
      </c>
      <c r="T9" s="4"/>
      <c r="U9" s="63">
        <f t="shared" si="2"/>
        <v>0</v>
      </c>
      <c r="V9" s="65" t="s">
        <v>24</v>
      </c>
      <c r="W9" s="64">
        <f t="shared" si="3"/>
        <v>0</v>
      </c>
      <c r="X9" s="26"/>
      <c r="AA9" s="12">
        <f t="shared" si="4"/>
        <v>0</v>
      </c>
      <c r="AB9" s="10" t="s">
        <v>24</v>
      </c>
      <c r="AC9" s="107">
        <f t="shared" si="5"/>
        <v>0</v>
      </c>
      <c r="AD9" s="10">
        <f t="shared" si="6"/>
        <v>0</v>
      </c>
      <c r="AE9" s="31" t="s">
        <v>24</v>
      </c>
      <c r="AF9" s="107">
        <f t="shared" si="7"/>
        <v>0</v>
      </c>
      <c r="AG9" s="10">
        <f t="shared" si="8"/>
        <v>0</v>
      </c>
      <c r="AH9" s="10" t="s">
        <v>24</v>
      </c>
      <c r="AI9" s="11">
        <f t="shared" si="9"/>
        <v>0</v>
      </c>
      <c r="AJ9" s="17"/>
      <c r="AK9" s="12">
        <f t="shared" si="10"/>
        <v>0</v>
      </c>
      <c r="AL9" s="10" t="s">
        <v>24</v>
      </c>
      <c r="AM9" s="11">
        <f t="shared" si="11"/>
        <v>0</v>
      </c>
    </row>
    <row r="10" spans="1:39" ht="20.100000000000001" customHeight="1" x14ac:dyDescent="0.25">
      <c r="A10" s="24"/>
      <c r="B10" s="84" t="s">
        <v>17</v>
      </c>
      <c r="C10" s="85" t="str">
        <f>'Spielplan(Ausdruck)'!H11</f>
        <v>Seed 2</v>
      </c>
      <c r="D10" s="85" t="s">
        <v>11</v>
      </c>
      <c r="E10" s="86" t="str">
        <f>'Spielplan(Ausdruck)'!J11</f>
        <v>Seed 3</v>
      </c>
      <c r="F10" s="4"/>
      <c r="G10" s="192"/>
      <c r="H10" s="53" t="s">
        <v>24</v>
      </c>
      <c r="I10" s="196"/>
      <c r="J10" s="197"/>
      <c r="K10" s="54" t="s">
        <v>24</v>
      </c>
      <c r="L10" s="202"/>
      <c r="M10" s="203"/>
      <c r="N10" s="53" t="s">
        <v>24</v>
      </c>
      <c r="O10" s="207"/>
      <c r="P10" s="34"/>
      <c r="Q10" s="63">
        <f t="shared" si="0"/>
        <v>0</v>
      </c>
      <c r="R10" s="65" t="s">
        <v>24</v>
      </c>
      <c r="S10" s="64">
        <f t="shared" si="1"/>
        <v>0</v>
      </c>
      <c r="T10" s="4"/>
      <c r="U10" s="63">
        <f t="shared" si="2"/>
        <v>0</v>
      </c>
      <c r="V10" s="65" t="s">
        <v>24</v>
      </c>
      <c r="W10" s="64">
        <f t="shared" si="3"/>
        <v>0</v>
      </c>
      <c r="X10" s="26"/>
      <c r="AA10" s="12">
        <f t="shared" si="4"/>
        <v>0</v>
      </c>
      <c r="AB10" s="10" t="s">
        <v>24</v>
      </c>
      <c r="AC10" s="107">
        <f t="shared" si="5"/>
        <v>0</v>
      </c>
      <c r="AD10" s="10">
        <f t="shared" si="6"/>
        <v>0</v>
      </c>
      <c r="AE10" s="31" t="s">
        <v>24</v>
      </c>
      <c r="AF10" s="107">
        <f t="shared" si="7"/>
        <v>0</v>
      </c>
      <c r="AG10" s="10">
        <f t="shared" si="8"/>
        <v>0</v>
      </c>
      <c r="AH10" s="10" t="s">
        <v>24</v>
      </c>
      <c r="AI10" s="11">
        <f t="shared" si="9"/>
        <v>0</v>
      </c>
      <c r="AJ10" s="17"/>
      <c r="AK10" s="12">
        <f t="shared" si="10"/>
        <v>0</v>
      </c>
      <c r="AL10" s="10" t="s">
        <v>24</v>
      </c>
      <c r="AM10" s="11">
        <f t="shared" si="11"/>
        <v>0</v>
      </c>
    </row>
    <row r="11" spans="1:39" ht="20.100000000000001" customHeight="1" x14ac:dyDescent="0.25">
      <c r="A11" s="24"/>
      <c r="B11" s="84" t="s">
        <v>39</v>
      </c>
      <c r="C11" s="85" t="str">
        <f>IF(L9="","1.Gruppe A",E29)</f>
        <v>1.Gruppe A</v>
      </c>
      <c r="D11" s="85" t="s">
        <v>11</v>
      </c>
      <c r="E11" s="86" t="str">
        <f>IF(L10="","2.Gruppe B",E35)</f>
        <v>2.Gruppe B</v>
      </c>
      <c r="F11" s="4"/>
      <c r="G11" s="192"/>
      <c r="H11" s="53" t="s">
        <v>24</v>
      </c>
      <c r="I11" s="196"/>
      <c r="J11" s="197"/>
      <c r="K11" s="54" t="s">
        <v>24</v>
      </c>
      <c r="L11" s="202"/>
      <c r="M11" s="203"/>
      <c r="N11" s="53" t="s">
        <v>24</v>
      </c>
      <c r="O11" s="207"/>
      <c r="P11" s="34"/>
      <c r="Q11" s="63">
        <f t="shared" ref="Q11:Q14" si="12">AA11+AD11+AG11</f>
        <v>0</v>
      </c>
      <c r="R11" s="65" t="s">
        <v>24</v>
      </c>
      <c r="S11" s="64">
        <f t="shared" ref="S11:S14" si="13">AC11+AF11+AI11</f>
        <v>0</v>
      </c>
      <c r="T11" s="4"/>
      <c r="U11" s="63">
        <f t="shared" ref="U11:U14" si="14">SUM(G11,J11,M11)</f>
        <v>0</v>
      </c>
      <c r="V11" s="65" t="s">
        <v>24</v>
      </c>
      <c r="W11" s="64">
        <f t="shared" ref="W11:W14" si="15">SUM(I11,L11,O11)</f>
        <v>0</v>
      </c>
      <c r="X11" s="26"/>
      <c r="AA11" s="12">
        <f t="shared" ref="AA11:AA14" si="16">IF(G11&gt;I11,1,0)</f>
        <v>0</v>
      </c>
      <c r="AB11" s="10" t="s">
        <v>24</v>
      </c>
      <c r="AC11" s="107">
        <f t="shared" ref="AC11:AC14" si="17">IF(I11&gt;G11,1,0)</f>
        <v>0</v>
      </c>
      <c r="AD11" s="10">
        <f t="shared" ref="AD11:AD14" si="18">IF(J11&gt;L11,1,0)</f>
        <v>0</v>
      </c>
      <c r="AE11" s="31" t="s">
        <v>24</v>
      </c>
      <c r="AF11" s="107">
        <f t="shared" ref="AF11:AF14" si="19">IF(L11&gt;J11,1,0)</f>
        <v>0</v>
      </c>
      <c r="AG11" s="10">
        <f t="shared" ref="AG11:AG14" si="20">IF(M11&gt;O11,1,0)</f>
        <v>0</v>
      </c>
      <c r="AH11" s="10" t="s">
        <v>24</v>
      </c>
      <c r="AI11" s="11">
        <f t="shared" ref="AI11:AI14" si="21">IF(O11&gt;M11,1,0)</f>
        <v>0</v>
      </c>
      <c r="AJ11" s="17"/>
      <c r="AK11" s="12">
        <f t="shared" si="10"/>
        <v>0</v>
      </c>
      <c r="AL11" s="10" t="s">
        <v>24</v>
      </c>
      <c r="AM11" s="11">
        <f t="shared" si="11"/>
        <v>0</v>
      </c>
    </row>
    <row r="12" spans="1:39" ht="20.100000000000001" customHeight="1" x14ac:dyDescent="0.25">
      <c r="A12" s="24"/>
      <c r="B12" s="84" t="s">
        <v>40</v>
      </c>
      <c r="C12" s="85" t="str">
        <f>IF(L10="","1.Gruppe B",E34)</f>
        <v>1.Gruppe B</v>
      </c>
      <c r="D12" s="85" t="s">
        <v>11</v>
      </c>
      <c r="E12" s="86" t="str">
        <f>IF(L9="","2.Gruppe A",E30)</f>
        <v>2.Gruppe A</v>
      </c>
      <c r="F12" s="4"/>
      <c r="G12" s="192"/>
      <c r="H12" s="53" t="s">
        <v>24</v>
      </c>
      <c r="I12" s="196"/>
      <c r="J12" s="197"/>
      <c r="K12" s="54" t="s">
        <v>24</v>
      </c>
      <c r="L12" s="202"/>
      <c r="M12" s="203"/>
      <c r="N12" s="53" t="s">
        <v>24</v>
      </c>
      <c r="O12" s="207"/>
      <c r="P12" s="34"/>
      <c r="Q12" s="63">
        <f t="shared" si="12"/>
        <v>0</v>
      </c>
      <c r="R12" s="65" t="s">
        <v>24</v>
      </c>
      <c r="S12" s="64">
        <f t="shared" si="13"/>
        <v>0</v>
      </c>
      <c r="T12" s="4"/>
      <c r="U12" s="63">
        <f t="shared" si="14"/>
        <v>0</v>
      </c>
      <c r="V12" s="65" t="s">
        <v>24</v>
      </c>
      <c r="W12" s="64">
        <f t="shared" si="15"/>
        <v>0</v>
      </c>
      <c r="X12" s="26"/>
      <c r="AA12" s="12">
        <f t="shared" si="16"/>
        <v>0</v>
      </c>
      <c r="AB12" s="10" t="s">
        <v>24</v>
      </c>
      <c r="AC12" s="107">
        <f t="shared" si="17"/>
        <v>0</v>
      </c>
      <c r="AD12" s="10">
        <f t="shared" si="18"/>
        <v>0</v>
      </c>
      <c r="AE12" s="31" t="s">
        <v>24</v>
      </c>
      <c r="AF12" s="107">
        <f t="shared" si="19"/>
        <v>0</v>
      </c>
      <c r="AG12" s="10">
        <f t="shared" si="20"/>
        <v>0</v>
      </c>
      <c r="AH12" s="10" t="s">
        <v>24</v>
      </c>
      <c r="AI12" s="11">
        <f t="shared" si="21"/>
        <v>0</v>
      </c>
      <c r="AJ12" s="17"/>
      <c r="AK12" s="12">
        <f t="shared" si="10"/>
        <v>0</v>
      </c>
      <c r="AL12" s="10" t="s">
        <v>24</v>
      </c>
      <c r="AM12" s="11">
        <f t="shared" si="11"/>
        <v>0</v>
      </c>
    </row>
    <row r="13" spans="1:39" ht="20.100000000000001" customHeight="1" x14ac:dyDescent="0.25">
      <c r="A13" s="24"/>
      <c r="B13" s="84" t="s">
        <v>41</v>
      </c>
      <c r="C13" s="85" t="str">
        <f>IF(L9="","3.Gruppe A",E31)</f>
        <v>3.Gruppe A</v>
      </c>
      <c r="D13" s="85" t="s">
        <v>11</v>
      </c>
      <c r="E13" s="86" t="str">
        <f>IF(L10="","3.Gruppe B",E36)</f>
        <v>3.Gruppe B</v>
      </c>
      <c r="F13" s="4"/>
      <c r="G13" s="192"/>
      <c r="H13" s="53" t="s">
        <v>24</v>
      </c>
      <c r="I13" s="196"/>
      <c r="J13" s="197"/>
      <c r="K13" s="54" t="s">
        <v>24</v>
      </c>
      <c r="L13" s="202"/>
      <c r="M13" s="203"/>
      <c r="N13" s="53" t="s">
        <v>24</v>
      </c>
      <c r="O13" s="207"/>
      <c r="P13" s="34"/>
      <c r="Q13" s="63">
        <f t="shared" si="12"/>
        <v>0</v>
      </c>
      <c r="R13" s="65" t="s">
        <v>24</v>
      </c>
      <c r="S13" s="64">
        <f t="shared" si="13"/>
        <v>0</v>
      </c>
      <c r="T13" s="4"/>
      <c r="U13" s="63">
        <f t="shared" si="14"/>
        <v>0</v>
      </c>
      <c r="V13" s="65" t="s">
        <v>24</v>
      </c>
      <c r="W13" s="64">
        <f t="shared" si="15"/>
        <v>0</v>
      </c>
      <c r="X13" s="26"/>
      <c r="AA13" s="12">
        <f t="shared" si="16"/>
        <v>0</v>
      </c>
      <c r="AB13" s="10" t="s">
        <v>24</v>
      </c>
      <c r="AC13" s="107">
        <f t="shared" si="17"/>
        <v>0</v>
      </c>
      <c r="AD13" s="10">
        <f t="shared" si="18"/>
        <v>0</v>
      </c>
      <c r="AE13" s="31" t="s">
        <v>24</v>
      </c>
      <c r="AF13" s="107">
        <f t="shared" si="19"/>
        <v>0</v>
      </c>
      <c r="AG13" s="10">
        <f t="shared" si="20"/>
        <v>0</v>
      </c>
      <c r="AH13" s="10" t="s">
        <v>24</v>
      </c>
      <c r="AI13" s="11">
        <f t="shared" si="21"/>
        <v>0</v>
      </c>
      <c r="AJ13" s="17"/>
      <c r="AK13" s="12">
        <f t="shared" si="10"/>
        <v>0</v>
      </c>
      <c r="AL13" s="10" t="s">
        <v>24</v>
      </c>
      <c r="AM13" s="11">
        <f t="shared" si="11"/>
        <v>0</v>
      </c>
    </row>
    <row r="14" spans="1:39" ht="20.100000000000001" customHeight="1" x14ac:dyDescent="0.25">
      <c r="A14" s="24"/>
      <c r="B14" s="84" t="s">
        <v>42</v>
      </c>
      <c r="C14" s="85" t="str">
        <f>IF(L11="","Verlierer Spiel 7",IF(AK11=1,E35,E29))</f>
        <v>Verlierer Spiel 7</v>
      </c>
      <c r="D14" s="85" t="s">
        <v>11</v>
      </c>
      <c r="E14" s="86" t="str">
        <f>IF(L12="","Verlierer Spiel 8",IF(AK12=1,E30,E34))</f>
        <v>Verlierer Spiel 8</v>
      </c>
      <c r="F14" s="4"/>
      <c r="G14" s="192"/>
      <c r="H14" s="53" t="s">
        <v>24</v>
      </c>
      <c r="I14" s="196"/>
      <c r="J14" s="197"/>
      <c r="K14" s="54" t="s">
        <v>24</v>
      </c>
      <c r="L14" s="202"/>
      <c r="M14" s="203"/>
      <c r="N14" s="53" t="s">
        <v>24</v>
      </c>
      <c r="O14" s="207"/>
      <c r="P14" s="34"/>
      <c r="Q14" s="63">
        <f t="shared" si="12"/>
        <v>0</v>
      </c>
      <c r="R14" s="65" t="s">
        <v>24</v>
      </c>
      <c r="S14" s="64">
        <f t="shared" si="13"/>
        <v>0</v>
      </c>
      <c r="T14" s="4"/>
      <c r="U14" s="63">
        <f t="shared" si="14"/>
        <v>0</v>
      </c>
      <c r="V14" s="65" t="s">
        <v>24</v>
      </c>
      <c r="W14" s="64">
        <f t="shared" si="15"/>
        <v>0</v>
      </c>
      <c r="X14" s="26"/>
      <c r="AA14" s="12">
        <f t="shared" si="16"/>
        <v>0</v>
      </c>
      <c r="AB14" s="10" t="s">
        <v>24</v>
      </c>
      <c r="AC14" s="107">
        <f t="shared" si="17"/>
        <v>0</v>
      </c>
      <c r="AD14" s="10">
        <f t="shared" si="18"/>
        <v>0</v>
      </c>
      <c r="AE14" s="31" t="s">
        <v>24</v>
      </c>
      <c r="AF14" s="107">
        <f t="shared" si="19"/>
        <v>0</v>
      </c>
      <c r="AG14" s="10">
        <f t="shared" si="20"/>
        <v>0</v>
      </c>
      <c r="AH14" s="10" t="s">
        <v>24</v>
      </c>
      <c r="AI14" s="11">
        <f t="shared" si="21"/>
        <v>0</v>
      </c>
      <c r="AJ14" s="17"/>
      <c r="AK14" s="12">
        <f t="shared" si="10"/>
        <v>0</v>
      </c>
      <c r="AL14" s="10" t="s">
        <v>24</v>
      </c>
      <c r="AM14" s="11">
        <f t="shared" si="11"/>
        <v>0</v>
      </c>
    </row>
    <row r="15" spans="1:39" ht="20.100000000000001" customHeight="1" thickBot="1" x14ac:dyDescent="0.3">
      <c r="A15" s="24"/>
      <c r="B15" s="101" t="s">
        <v>46</v>
      </c>
      <c r="C15" s="87" t="str">
        <f>IF(L11="","Sieger Spiel 7",IF(AK11=1,E29,E35))</f>
        <v>Sieger Spiel 7</v>
      </c>
      <c r="D15" s="87" t="s">
        <v>11</v>
      </c>
      <c r="E15" s="88" t="str">
        <f>IF(L12="","Sieger Spiel 8",IF(AK12=1,E34,E30))</f>
        <v>Sieger Spiel 8</v>
      </c>
      <c r="F15" s="4"/>
      <c r="G15" s="193"/>
      <c r="H15" s="55" t="s">
        <v>24</v>
      </c>
      <c r="I15" s="198"/>
      <c r="J15" s="199"/>
      <c r="K15" s="56" t="s">
        <v>24</v>
      </c>
      <c r="L15" s="204"/>
      <c r="M15" s="205"/>
      <c r="N15" s="55" t="s">
        <v>24</v>
      </c>
      <c r="O15" s="208"/>
      <c r="P15" s="34"/>
      <c r="Q15" s="68">
        <f t="shared" ref="Q15" si="22">AA15+AD15+AG15</f>
        <v>0</v>
      </c>
      <c r="R15" s="71" t="s">
        <v>24</v>
      </c>
      <c r="S15" s="69">
        <f t="shared" ref="S15" si="23">AC15+AF15+AI15</f>
        <v>0</v>
      </c>
      <c r="T15" s="4"/>
      <c r="U15" s="68">
        <f t="shared" ref="U15" si="24">SUM(G15,J15,M15)</f>
        <v>0</v>
      </c>
      <c r="V15" s="71" t="s">
        <v>24</v>
      </c>
      <c r="W15" s="69">
        <f t="shared" ref="W15" si="25">SUM(I15,L15,O15)</f>
        <v>0</v>
      </c>
      <c r="X15" s="26"/>
      <c r="AA15" s="15">
        <f t="shared" ref="AA15" si="26">IF(G15&gt;I15,1,0)</f>
        <v>0</v>
      </c>
      <c r="AB15" s="13" t="s">
        <v>24</v>
      </c>
      <c r="AC15" s="109">
        <f t="shared" ref="AC15" si="27">IF(I15&gt;G15,1,0)</f>
        <v>0</v>
      </c>
      <c r="AD15" s="13">
        <f t="shared" ref="AD15" si="28">IF(J15&gt;L15,1,0)</f>
        <v>0</v>
      </c>
      <c r="AE15" s="32" t="s">
        <v>24</v>
      </c>
      <c r="AF15" s="109">
        <f t="shared" ref="AF15" si="29">IF(L15&gt;J15,1,0)</f>
        <v>0</v>
      </c>
      <c r="AG15" s="13">
        <f t="shared" ref="AG15" si="30">IF(M15&gt;O15,1,0)</f>
        <v>0</v>
      </c>
      <c r="AH15" s="13" t="s">
        <v>24</v>
      </c>
      <c r="AI15" s="14">
        <f t="shared" ref="AI15" si="31">IF(O15&gt;M15,1,0)</f>
        <v>0</v>
      </c>
      <c r="AJ15" s="17"/>
      <c r="AK15" s="15">
        <f t="shared" ref="AK15" si="32">IF(G15="",0,IF(Q15&gt;S15,1,IF(Q15=S15,0.5,0)))</f>
        <v>0</v>
      </c>
      <c r="AL15" s="13" t="s">
        <v>24</v>
      </c>
      <c r="AM15" s="14">
        <f t="shared" ref="AM15" si="33">IF(G15="",0,IF(Q15&lt;S15,1,IF(Q15=S15,0.5,0)))</f>
        <v>0</v>
      </c>
    </row>
    <row r="16" spans="1:39" ht="20.100000000000001" hidden="1" customHeight="1" x14ac:dyDescent="0.25">
      <c r="A16" s="24"/>
      <c r="B16" s="177"/>
      <c r="C16" s="177"/>
      <c r="D16" s="177"/>
      <c r="E16" s="177"/>
      <c r="F16" s="4"/>
      <c r="G16" s="4"/>
      <c r="H16" s="4"/>
      <c r="I16" s="4"/>
      <c r="J16" s="180"/>
      <c r="K16" s="180"/>
      <c r="L16" s="180"/>
      <c r="M16" s="4"/>
      <c r="N16" s="4"/>
      <c r="O16" s="4"/>
      <c r="P16" s="34"/>
      <c r="Q16" s="4"/>
      <c r="R16" s="4"/>
      <c r="S16" s="4"/>
      <c r="T16" s="4"/>
      <c r="U16" s="4"/>
      <c r="V16" s="4"/>
      <c r="W16" s="4"/>
      <c r="X16" s="26"/>
      <c r="AA16" s="16"/>
      <c r="AB16" s="17"/>
      <c r="AC16" s="178"/>
      <c r="AD16" s="17"/>
      <c r="AE16" s="179"/>
      <c r="AF16" s="178"/>
      <c r="AG16" s="17"/>
      <c r="AH16" s="17"/>
      <c r="AI16" s="17"/>
      <c r="AJ16" s="17"/>
      <c r="AK16" s="17"/>
      <c r="AL16" s="17"/>
      <c r="AM16" s="18"/>
    </row>
    <row r="17" spans="1:39" ht="20.100000000000001" hidden="1" customHeight="1" thickBot="1" x14ac:dyDescent="0.3">
      <c r="A17" s="24"/>
      <c r="B17" s="177"/>
      <c r="C17" s="177"/>
      <c r="D17" s="177"/>
      <c r="E17" s="177"/>
      <c r="F17" s="4"/>
      <c r="G17" s="4"/>
      <c r="H17" s="4"/>
      <c r="I17" s="4"/>
      <c r="J17" s="180"/>
      <c r="K17" s="180"/>
      <c r="L17" s="180"/>
      <c r="M17" s="4"/>
      <c r="N17" s="4"/>
      <c r="O17" s="4"/>
      <c r="P17" s="34"/>
      <c r="Q17" s="4"/>
      <c r="R17" s="4"/>
      <c r="S17" s="4"/>
      <c r="T17" s="4"/>
      <c r="U17" s="4"/>
      <c r="V17" s="4"/>
      <c r="W17" s="4"/>
      <c r="X17" s="26"/>
      <c r="AA17" s="16"/>
      <c r="AB17" s="17"/>
      <c r="AC17" s="178"/>
      <c r="AD17" s="17"/>
      <c r="AE17" s="179"/>
      <c r="AF17" s="178"/>
      <c r="AG17" s="17"/>
      <c r="AH17" s="17"/>
      <c r="AI17" s="17"/>
      <c r="AJ17" s="17"/>
      <c r="AK17" s="17"/>
      <c r="AL17" s="17"/>
      <c r="AM17" s="18"/>
    </row>
    <row r="18" spans="1:39" ht="20.100000000000001" hidden="1" customHeight="1" thickBot="1" x14ac:dyDescent="0.3">
      <c r="A18" s="24"/>
      <c r="B18" s="5"/>
      <c r="C18" s="34"/>
      <c r="D18" s="38" t="s">
        <v>51</v>
      </c>
      <c r="E18" s="35"/>
      <c r="F18" s="36"/>
      <c r="G18" s="268" t="s">
        <v>32</v>
      </c>
      <c r="H18" s="269"/>
      <c r="I18" s="270"/>
      <c r="J18" s="268" t="s">
        <v>27</v>
      </c>
      <c r="K18" s="269"/>
      <c r="L18" s="270"/>
      <c r="M18" s="268" t="s">
        <v>28</v>
      </c>
      <c r="N18" s="269"/>
      <c r="O18" s="269"/>
      <c r="P18" s="271" t="s">
        <v>33</v>
      </c>
      <c r="Q18" s="272"/>
      <c r="R18" s="5"/>
      <c r="S18" s="5"/>
      <c r="T18" s="5"/>
      <c r="U18" s="5"/>
      <c r="V18" s="5"/>
      <c r="W18" s="5"/>
      <c r="X18" s="26"/>
      <c r="AA18" s="284" t="s">
        <v>35</v>
      </c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6"/>
    </row>
    <row r="19" spans="1:39" ht="20.100000000000001" hidden="1" customHeight="1" x14ac:dyDescent="0.25">
      <c r="A19" s="24"/>
      <c r="B19" s="5"/>
      <c r="C19" s="34"/>
      <c r="D19" s="125">
        <f>RANK(AJ19,AJ19:AJ21)</f>
        <v>1</v>
      </c>
      <c r="E19" s="298" t="str">
        <f>Turnierdaten!$B$3</f>
        <v>Seed 1</v>
      </c>
      <c r="F19" s="299"/>
      <c r="G19" s="304">
        <f>AK5+AK9</f>
        <v>0</v>
      </c>
      <c r="H19" s="298"/>
      <c r="I19" s="305"/>
      <c r="J19" s="39">
        <f>Q5+Q9</f>
        <v>0</v>
      </c>
      <c r="K19" s="40" t="s">
        <v>24</v>
      </c>
      <c r="L19" s="41">
        <f>S5+S9</f>
        <v>0</v>
      </c>
      <c r="M19" s="42">
        <f>SUM(U5,U9)</f>
        <v>0</v>
      </c>
      <c r="N19" s="40" t="s">
        <v>24</v>
      </c>
      <c r="O19" s="43">
        <f>SUM(W5,W9)</f>
        <v>0</v>
      </c>
      <c r="P19" s="308">
        <f>M19-O19</f>
        <v>0</v>
      </c>
      <c r="Q19" s="309"/>
      <c r="R19" s="5"/>
      <c r="S19" s="5"/>
      <c r="T19" s="5"/>
      <c r="U19" s="5"/>
      <c r="V19" s="5"/>
      <c r="W19" s="5"/>
      <c r="X19" s="26"/>
      <c r="Y19" s="33"/>
      <c r="AA19" s="12">
        <f>G19</f>
        <v>0</v>
      </c>
      <c r="AB19" s="10"/>
      <c r="AC19" s="10">
        <f>J19-L19</f>
        <v>0</v>
      </c>
      <c r="AD19" s="10"/>
      <c r="AE19" s="10"/>
      <c r="AF19" s="10">
        <f>P19</f>
        <v>0</v>
      </c>
      <c r="AG19" s="10"/>
      <c r="AH19" s="10"/>
      <c r="AI19" s="10"/>
      <c r="AJ19" s="10">
        <f>AA19*1000+AC19*100+AF19</f>
        <v>0</v>
      </c>
      <c r="AK19" s="10"/>
      <c r="AL19" s="10"/>
      <c r="AM19" s="11"/>
    </row>
    <row r="20" spans="1:39" ht="20.100000000000001" hidden="1" customHeight="1" x14ac:dyDescent="0.25">
      <c r="A20" s="24"/>
      <c r="B20" s="5"/>
      <c r="C20" s="34"/>
      <c r="D20" s="124">
        <f>RANK(AJ20,AJ19:AJ21)</f>
        <v>1</v>
      </c>
      <c r="E20" s="300" t="str">
        <f>Turnierdaten!$B$6</f>
        <v>Seed 4</v>
      </c>
      <c r="F20" s="301"/>
      <c r="G20" s="306">
        <f>AK7+AM9</f>
        <v>0</v>
      </c>
      <c r="H20" s="300"/>
      <c r="I20" s="307"/>
      <c r="J20" s="44">
        <f>Q7+S9</f>
        <v>0</v>
      </c>
      <c r="K20" s="45" t="s">
        <v>24</v>
      </c>
      <c r="L20" s="46">
        <f>S7+Q9</f>
        <v>0</v>
      </c>
      <c r="M20" s="47">
        <f>SUM(U7,W9)</f>
        <v>0</v>
      </c>
      <c r="N20" s="45" t="s">
        <v>24</v>
      </c>
      <c r="O20" s="48">
        <f>SUM(W7,U9)</f>
        <v>0</v>
      </c>
      <c r="P20" s="310">
        <f>M20-O20</f>
        <v>0</v>
      </c>
      <c r="Q20" s="311"/>
      <c r="R20" s="5"/>
      <c r="S20" s="5"/>
      <c r="T20" s="5"/>
      <c r="U20" s="5"/>
      <c r="V20" s="5"/>
      <c r="W20" s="5"/>
      <c r="X20" s="26"/>
      <c r="Y20" s="33"/>
      <c r="AA20" s="12">
        <f>G20</f>
        <v>0</v>
      </c>
      <c r="AB20" s="10"/>
      <c r="AC20" s="10">
        <f>J20-L20</f>
        <v>0</v>
      </c>
      <c r="AD20" s="10"/>
      <c r="AE20" s="10"/>
      <c r="AF20" s="10">
        <f>P20</f>
        <v>0</v>
      </c>
      <c r="AG20" s="10"/>
      <c r="AH20" s="10"/>
      <c r="AI20" s="10"/>
      <c r="AJ20" s="10">
        <f>AA20*1000+AC20*100+AF20</f>
        <v>0</v>
      </c>
      <c r="AK20" s="10"/>
      <c r="AL20" s="10"/>
      <c r="AM20" s="11"/>
    </row>
    <row r="21" spans="1:39" ht="20.100000000000001" hidden="1" customHeight="1" thickBot="1" x14ac:dyDescent="0.3">
      <c r="A21" s="24"/>
      <c r="B21" s="5"/>
      <c r="C21" s="34"/>
      <c r="D21" s="123">
        <f>RANK(AJ21,AJ19:AJ21)</f>
        <v>1</v>
      </c>
      <c r="E21" s="262" t="str">
        <f>Turnierdaten!$B$7</f>
        <v>Seed 5</v>
      </c>
      <c r="F21" s="267"/>
      <c r="G21" s="261">
        <f>AM5+AM7</f>
        <v>0</v>
      </c>
      <c r="H21" s="262"/>
      <c r="I21" s="263"/>
      <c r="J21" s="111">
        <f>S5+S7</f>
        <v>0</v>
      </c>
      <c r="K21" s="112" t="s">
        <v>24</v>
      </c>
      <c r="L21" s="113">
        <f>Q5+Q7</f>
        <v>0</v>
      </c>
      <c r="M21" s="114">
        <f>SUM(W5,W7)</f>
        <v>0</v>
      </c>
      <c r="N21" s="112" t="s">
        <v>24</v>
      </c>
      <c r="O21" s="115">
        <f>SUM(U5,U7)</f>
        <v>0</v>
      </c>
      <c r="P21" s="273">
        <f>M21-O21</f>
        <v>0</v>
      </c>
      <c r="Q21" s="274"/>
      <c r="R21" s="5"/>
      <c r="S21" s="5"/>
      <c r="T21" s="5"/>
      <c r="U21" s="5"/>
      <c r="V21" s="5"/>
      <c r="W21" s="5"/>
      <c r="X21" s="26"/>
      <c r="Y21" s="33"/>
      <c r="AA21" s="15">
        <f>G21</f>
        <v>0</v>
      </c>
      <c r="AB21" s="13"/>
      <c r="AC21" s="13">
        <f>J21-L21</f>
        <v>0</v>
      </c>
      <c r="AD21" s="13"/>
      <c r="AE21" s="13"/>
      <c r="AF21" s="13">
        <f>P21</f>
        <v>0</v>
      </c>
      <c r="AG21" s="13"/>
      <c r="AH21" s="13"/>
      <c r="AI21" s="13"/>
      <c r="AJ21" s="13">
        <f>AA21*1000+AC21*100+AF21</f>
        <v>0</v>
      </c>
      <c r="AK21" s="13"/>
      <c r="AL21" s="13"/>
      <c r="AM21" s="14"/>
    </row>
    <row r="22" spans="1:39" ht="20.100000000000001" hidden="1" customHeight="1" thickBot="1" x14ac:dyDescent="0.3">
      <c r="A22" s="24"/>
      <c r="B22" s="5"/>
      <c r="C22" s="34"/>
      <c r="D22" s="180"/>
      <c r="E22" s="241"/>
      <c r="F22" s="241"/>
      <c r="G22" s="241"/>
      <c r="H22" s="241"/>
      <c r="I22" s="241"/>
      <c r="J22" s="181"/>
      <c r="K22" s="181"/>
      <c r="L22" s="181"/>
      <c r="M22" s="181"/>
      <c r="N22" s="181"/>
      <c r="O22" s="182"/>
      <c r="P22" s="242"/>
      <c r="Q22" s="242"/>
      <c r="R22" s="5"/>
      <c r="S22" s="5"/>
      <c r="T22" s="5"/>
      <c r="U22" s="5"/>
      <c r="V22" s="5"/>
      <c r="W22" s="5"/>
      <c r="X22" s="26"/>
      <c r="Y22" s="33"/>
      <c r="AA22" s="16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8"/>
    </row>
    <row r="23" spans="1:39" ht="20.100000000000001" hidden="1" customHeight="1" thickBot="1" x14ac:dyDescent="0.3">
      <c r="A23" s="24"/>
      <c r="B23" s="5"/>
      <c r="C23" s="34"/>
      <c r="D23" s="38" t="s">
        <v>52</v>
      </c>
      <c r="E23" s="35"/>
      <c r="F23" s="36"/>
      <c r="G23" s="268" t="s">
        <v>32</v>
      </c>
      <c r="H23" s="269"/>
      <c r="I23" s="270"/>
      <c r="J23" s="268" t="s">
        <v>27</v>
      </c>
      <c r="K23" s="269"/>
      <c r="L23" s="270"/>
      <c r="M23" s="268" t="s">
        <v>28</v>
      </c>
      <c r="N23" s="269"/>
      <c r="O23" s="269"/>
      <c r="P23" s="271" t="s">
        <v>33</v>
      </c>
      <c r="Q23" s="272"/>
      <c r="R23" s="5"/>
      <c r="S23" s="5"/>
      <c r="T23" s="5"/>
      <c r="U23" s="5"/>
      <c r="V23" s="5"/>
      <c r="W23" s="5"/>
      <c r="X23" s="26"/>
      <c r="AA23" s="284" t="s">
        <v>35</v>
      </c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</row>
    <row r="24" spans="1:39" ht="20.100000000000001" hidden="1" customHeight="1" x14ac:dyDescent="0.25">
      <c r="A24" s="24"/>
      <c r="B24" s="5"/>
      <c r="C24" s="34"/>
      <c r="D24" s="125">
        <f>RANK(AJ24,AJ24:AJ26)</f>
        <v>1</v>
      </c>
      <c r="E24" s="298" t="str">
        <f>Turnierdaten!$B$4</f>
        <v>Seed 2</v>
      </c>
      <c r="F24" s="299"/>
      <c r="G24" s="304">
        <f>AK6+AK10</f>
        <v>0</v>
      </c>
      <c r="H24" s="298"/>
      <c r="I24" s="305"/>
      <c r="J24" s="39">
        <f>Q6+Q10</f>
        <v>0</v>
      </c>
      <c r="K24" s="40" t="s">
        <v>24</v>
      </c>
      <c r="L24" s="41">
        <f>S6+S10</f>
        <v>0</v>
      </c>
      <c r="M24" s="42">
        <f>SUM(U6,U10)</f>
        <v>0</v>
      </c>
      <c r="N24" s="40" t="s">
        <v>24</v>
      </c>
      <c r="O24" s="43">
        <f>SUM(W6,W10)</f>
        <v>0</v>
      </c>
      <c r="P24" s="308">
        <f>M24-O24</f>
        <v>0</v>
      </c>
      <c r="Q24" s="309"/>
      <c r="R24" s="5"/>
      <c r="S24" s="5"/>
      <c r="T24" s="5"/>
      <c r="U24" s="5"/>
      <c r="V24" s="5"/>
      <c r="W24" s="5"/>
      <c r="X24" s="26"/>
      <c r="AA24" s="12">
        <f>G24</f>
        <v>0</v>
      </c>
      <c r="AB24" s="10"/>
      <c r="AC24" s="10">
        <f>J24-L24</f>
        <v>0</v>
      </c>
      <c r="AD24" s="10"/>
      <c r="AE24" s="10"/>
      <c r="AF24" s="10">
        <f>P24</f>
        <v>0</v>
      </c>
      <c r="AG24" s="10"/>
      <c r="AH24" s="10"/>
      <c r="AI24" s="10"/>
      <c r="AJ24" s="10">
        <f>AA24*1000+AC24*100+AF24</f>
        <v>0</v>
      </c>
      <c r="AK24" s="10"/>
      <c r="AL24" s="10"/>
      <c r="AM24" s="11"/>
    </row>
    <row r="25" spans="1:39" ht="20.100000000000001" hidden="1" customHeight="1" x14ac:dyDescent="0.25">
      <c r="A25" s="24"/>
      <c r="B25" s="5"/>
      <c r="C25" s="34"/>
      <c r="D25" s="124">
        <f>RANK(AJ25,AJ24:AJ26)</f>
        <v>1</v>
      </c>
      <c r="E25" s="300" t="str">
        <f>Turnierdaten!$B$5</f>
        <v>Seed 3</v>
      </c>
      <c r="F25" s="301"/>
      <c r="G25" s="306">
        <f>AK8+AM10</f>
        <v>0</v>
      </c>
      <c r="H25" s="300"/>
      <c r="I25" s="307"/>
      <c r="J25" s="44">
        <f>Q8+S10</f>
        <v>0</v>
      </c>
      <c r="K25" s="45" t="s">
        <v>24</v>
      </c>
      <c r="L25" s="46">
        <f>S8+Q10</f>
        <v>0</v>
      </c>
      <c r="M25" s="47">
        <f>SUM(U8,W10)</f>
        <v>0</v>
      </c>
      <c r="N25" s="45" t="s">
        <v>24</v>
      </c>
      <c r="O25" s="48">
        <f>SUM(W8,U10)</f>
        <v>0</v>
      </c>
      <c r="P25" s="310">
        <f>M25-O25</f>
        <v>0</v>
      </c>
      <c r="Q25" s="311"/>
      <c r="R25" s="5"/>
      <c r="S25" s="5"/>
      <c r="T25" s="5"/>
      <c r="U25" s="5"/>
      <c r="V25" s="5"/>
      <c r="W25" s="5"/>
      <c r="X25" s="26"/>
      <c r="AA25" s="12">
        <f>G25</f>
        <v>0</v>
      </c>
      <c r="AB25" s="10"/>
      <c r="AC25" s="10">
        <f>J25-L25</f>
        <v>0</v>
      </c>
      <c r="AD25" s="10"/>
      <c r="AE25" s="10"/>
      <c r="AF25" s="10">
        <f>P25</f>
        <v>0</v>
      </c>
      <c r="AG25" s="10"/>
      <c r="AH25" s="10"/>
      <c r="AI25" s="10"/>
      <c r="AJ25" s="10">
        <f>AA25*1000+AC25*100+AF25</f>
        <v>0</v>
      </c>
      <c r="AK25" s="10"/>
      <c r="AL25" s="10"/>
      <c r="AM25" s="11"/>
    </row>
    <row r="26" spans="1:39" ht="20.100000000000001" hidden="1" customHeight="1" thickBot="1" x14ac:dyDescent="0.3">
      <c r="A26" s="24"/>
      <c r="B26" s="5"/>
      <c r="C26" s="34"/>
      <c r="D26" s="123">
        <f>RANK(AJ26,AJ24:AJ26)</f>
        <v>1</v>
      </c>
      <c r="E26" s="262" t="str">
        <f>Turnierdaten!$B$8</f>
        <v>Seed 6</v>
      </c>
      <c r="F26" s="267"/>
      <c r="G26" s="261">
        <f>AM6+AM8</f>
        <v>0</v>
      </c>
      <c r="H26" s="262"/>
      <c r="I26" s="263"/>
      <c r="J26" s="111">
        <f>S6+S8</f>
        <v>0</v>
      </c>
      <c r="K26" s="112" t="s">
        <v>24</v>
      </c>
      <c r="L26" s="113">
        <f>Q6+Q8</f>
        <v>0</v>
      </c>
      <c r="M26" s="114">
        <f>SUM(W6,W8)</f>
        <v>0</v>
      </c>
      <c r="N26" s="112" t="s">
        <v>24</v>
      </c>
      <c r="O26" s="115">
        <f>SUM(U6,U8)</f>
        <v>0</v>
      </c>
      <c r="P26" s="273">
        <f>M26-O26</f>
        <v>0</v>
      </c>
      <c r="Q26" s="274"/>
      <c r="R26" s="5"/>
      <c r="S26" s="5"/>
      <c r="T26" s="5"/>
      <c r="U26" s="5"/>
      <c r="V26" s="5"/>
      <c r="W26" s="5"/>
      <c r="X26" s="26"/>
      <c r="AA26" s="15">
        <f>G26</f>
        <v>0</v>
      </c>
      <c r="AB26" s="13"/>
      <c r="AC26" s="13">
        <f>J26-L26</f>
        <v>0</v>
      </c>
      <c r="AD26" s="13"/>
      <c r="AE26" s="13"/>
      <c r="AF26" s="13">
        <f>P26</f>
        <v>0</v>
      </c>
      <c r="AG26" s="13"/>
      <c r="AH26" s="13"/>
      <c r="AI26" s="13"/>
      <c r="AJ26" s="13">
        <f>AA26*1000+AC26*100+AF26</f>
        <v>0</v>
      </c>
      <c r="AK26" s="13"/>
      <c r="AL26" s="13"/>
      <c r="AM26" s="14"/>
    </row>
    <row r="27" spans="1:39" ht="20.100000000000001" customHeight="1" thickBot="1" x14ac:dyDescent="0.3">
      <c r="A27" s="24"/>
      <c r="B27" s="5"/>
      <c r="C27" s="34"/>
      <c r="D27" s="34"/>
      <c r="E27" s="34"/>
      <c r="F27" s="37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"/>
      <c r="S27" s="5"/>
      <c r="T27" s="5"/>
      <c r="U27" s="5"/>
      <c r="V27" s="5"/>
      <c r="W27" s="5"/>
      <c r="X27" s="26"/>
    </row>
    <row r="28" spans="1:39" ht="20.100000000000001" customHeight="1" thickBot="1" x14ac:dyDescent="0.3">
      <c r="A28" s="24"/>
      <c r="B28" s="5"/>
      <c r="C28" s="34"/>
      <c r="D28" s="116" t="s">
        <v>53</v>
      </c>
      <c r="E28" s="117"/>
      <c r="F28" s="118"/>
      <c r="G28" s="264" t="s">
        <v>32</v>
      </c>
      <c r="H28" s="265"/>
      <c r="I28" s="266"/>
      <c r="J28" s="264" t="s">
        <v>27</v>
      </c>
      <c r="K28" s="265"/>
      <c r="L28" s="266"/>
      <c r="M28" s="264" t="s">
        <v>28</v>
      </c>
      <c r="N28" s="265"/>
      <c r="O28" s="265"/>
      <c r="P28" s="259" t="s">
        <v>33</v>
      </c>
      <c r="Q28" s="260"/>
      <c r="R28" s="5"/>
      <c r="S28" s="5"/>
      <c r="T28" s="5"/>
      <c r="U28" s="5"/>
      <c r="V28" s="5"/>
      <c r="W28" s="5"/>
      <c r="X28" s="26"/>
    </row>
    <row r="29" spans="1:39" ht="20.100000000000001" customHeight="1" x14ac:dyDescent="0.25">
      <c r="A29" s="24"/>
      <c r="B29" s="5"/>
      <c r="C29" s="34"/>
      <c r="D29" s="136" t="s">
        <v>12</v>
      </c>
      <c r="E29" s="243" t="str">
        <f>VLOOKUP(1,D19:F21,2,FALSE)</f>
        <v>Seed 1</v>
      </c>
      <c r="F29" s="244"/>
      <c r="G29" s="245">
        <f>VLOOKUP(E29,E19:Q22,3,FALSE)</f>
        <v>0</v>
      </c>
      <c r="H29" s="243"/>
      <c r="I29" s="246"/>
      <c r="J29" s="119">
        <f>VLOOKUP(E29,E19:Q22,6,FALSE)</f>
        <v>0</v>
      </c>
      <c r="K29" s="134" t="s">
        <v>24</v>
      </c>
      <c r="L29" s="135">
        <f>VLOOKUP(E29,E19:Q22,8,FALSE)</f>
        <v>0</v>
      </c>
      <c r="M29" s="136">
        <f>VLOOKUP(E29,E19:Q22,9,FALSE)</f>
        <v>0</v>
      </c>
      <c r="N29" s="134" t="s">
        <v>24</v>
      </c>
      <c r="O29" s="137">
        <f>VLOOKUP(E29,E19:Q22,11,FALSE)</f>
        <v>0</v>
      </c>
      <c r="P29" s="247">
        <f>M29-O29</f>
        <v>0</v>
      </c>
      <c r="Q29" s="248"/>
      <c r="R29" s="5"/>
      <c r="S29" s="5"/>
      <c r="T29" s="5"/>
      <c r="U29" s="5"/>
      <c r="V29" s="5"/>
      <c r="W29" s="5"/>
      <c r="X29" s="26"/>
    </row>
    <row r="30" spans="1:39" ht="20.100000000000001" customHeight="1" x14ac:dyDescent="0.25">
      <c r="A30" s="24"/>
      <c r="B30" s="5"/>
      <c r="C30" s="34"/>
      <c r="D30" s="132" t="s">
        <v>13</v>
      </c>
      <c r="E30" s="249" t="str">
        <f>IF(U5=0,Turnierdaten!B6,VLOOKUP(2,D19:F21,2,FALSE))</f>
        <v>Seed 4</v>
      </c>
      <c r="F30" s="250"/>
      <c r="G30" s="251">
        <f>VLOOKUP(E30,E19:P22,3,FALSE)</f>
        <v>0</v>
      </c>
      <c r="H30" s="249"/>
      <c r="I30" s="252"/>
      <c r="J30" s="102">
        <f>VLOOKUP(E30,E19:Q22,6,FALSE)</f>
        <v>0</v>
      </c>
      <c r="K30" s="130" t="s">
        <v>24</v>
      </c>
      <c r="L30" s="131">
        <f>VLOOKUP(E30,E19:Q22,8,FALSE)</f>
        <v>0</v>
      </c>
      <c r="M30" s="132">
        <f>VLOOKUP(E30,E19:Q22,9,FALSE)</f>
        <v>0</v>
      </c>
      <c r="N30" s="130" t="s">
        <v>24</v>
      </c>
      <c r="O30" s="133">
        <f>VLOOKUP(E30,E19:Q22,11,FALSE)</f>
        <v>0</v>
      </c>
      <c r="P30" s="253">
        <f>M30-O30</f>
        <v>0</v>
      </c>
      <c r="Q30" s="254"/>
      <c r="R30" s="5"/>
      <c r="S30" s="5"/>
      <c r="T30" s="5"/>
      <c r="U30" s="5"/>
      <c r="V30" s="5"/>
      <c r="W30" s="5"/>
      <c r="X30" s="26"/>
    </row>
    <row r="31" spans="1:39" ht="20.100000000000001" customHeight="1" thickBot="1" x14ac:dyDescent="0.3">
      <c r="A31" s="24"/>
      <c r="B31" s="5"/>
      <c r="C31" s="34"/>
      <c r="D31" s="128" t="s">
        <v>14</v>
      </c>
      <c r="E31" s="255" t="str">
        <f>IF(U5=0,Turnierdaten!B7,VLOOKUP(3,D19:F21,2,FALSE))</f>
        <v>Seed 5</v>
      </c>
      <c r="F31" s="256"/>
      <c r="G31" s="257">
        <f>VLOOKUP(E31,E19:P22,3,FALSE)</f>
        <v>0</v>
      </c>
      <c r="H31" s="255"/>
      <c r="I31" s="258"/>
      <c r="J31" s="110">
        <f>VLOOKUP(E31,E19:Q22,6,FALSE)</f>
        <v>0</v>
      </c>
      <c r="K31" s="126" t="s">
        <v>24</v>
      </c>
      <c r="L31" s="127">
        <f>VLOOKUP(E31,E19:Q22,8,FALSE)</f>
        <v>0</v>
      </c>
      <c r="M31" s="128">
        <f>VLOOKUP(E31,E19:Q22,9,FALSE)</f>
        <v>0</v>
      </c>
      <c r="N31" s="126" t="s">
        <v>24</v>
      </c>
      <c r="O31" s="129">
        <f>VLOOKUP(E31,E19:Q22,11,FALSE)</f>
        <v>0</v>
      </c>
      <c r="P31" s="312">
        <f>M31-O31</f>
        <v>0</v>
      </c>
      <c r="Q31" s="313"/>
      <c r="R31" s="5"/>
      <c r="S31" s="5"/>
      <c r="T31" s="5"/>
      <c r="U31" s="5"/>
      <c r="V31" s="5"/>
      <c r="W31" s="5"/>
      <c r="X31" s="26"/>
    </row>
    <row r="32" spans="1:39" ht="20.100000000000001" customHeight="1" thickBot="1" x14ac:dyDescent="0.3">
      <c r="A32" s="24"/>
      <c r="B32" s="27"/>
      <c r="C32" s="4"/>
      <c r="D32" s="180"/>
      <c r="E32" s="241"/>
      <c r="F32" s="241"/>
      <c r="G32" s="241"/>
      <c r="H32" s="241"/>
      <c r="I32" s="241"/>
      <c r="J32" s="180"/>
      <c r="K32" s="180"/>
      <c r="L32" s="180"/>
      <c r="M32" s="180"/>
      <c r="N32" s="180"/>
      <c r="O32" s="180"/>
      <c r="P32" s="242"/>
      <c r="Q32" s="242"/>
      <c r="R32" s="5"/>
      <c r="S32" s="5"/>
      <c r="T32" s="5"/>
      <c r="U32" s="5"/>
      <c r="V32" s="5"/>
      <c r="W32" s="5"/>
      <c r="X32" s="26"/>
    </row>
    <row r="33" spans="1:24" ht="20.100000000000001" customHeight="1" thickBot="1" x14ac:dyDescent="0.3">
      <c r="A33" s="24"/>
      <c r="B33" s="27"/>
      <c r="C33" s="34"/>
      <c r="D33" s="116" t="s">
        <v>54</v>
      </c>
      <c r="E33" s="117"/>
      <c r="F33" s="118"/>
      <c r="G33" s="264" t="s">
        <v>32</v>
      </c>
      <c r="H33" s="265"/>
      <c r="I33" s="266"/>
      <c r="J33" s="264" t="s">
        <v>27</v>
      </c>
      <c r="K33" s="265"/>
      <c r="L33" s="266"/>
      <c r="M33" s="264" t="s">
        <v>28</v>
      </c>
      <c r="N33" s="265"/>
      <c r="O33" s="265"/>
      <c r="P33" s="259" t="s">
        <v>33</v>
      </c>
      <c r="Q33" s="260"/>
      <c r="R33" s="5"/>
      <c r="S33" s="5"/>
      <c r="T33" s="5"/>
      <c r="U33" s="5"/>
      <c r="V33" s="5"/>
      <c r="W33" s="5"/>
      <c r="X33" s="26"/>
    </row>
    <row r="34" spans="1:24" ht="20.100000000000001" customHeight="1" x14ac:dyDescent="0.25">
      <c r="A34" s="24"/>
      <c r="B34" s="27"/>
      <c r="C34" s="34"/>
      <c r="D34" s="136" t="s">
        <v>12</v>
      </c>
      <c r="E34" s="243" t="str">
        <f>VLOOKUP(1,D24:F26,2,FALSE)</f>
        <v>Seed 2</v>
      </c>
      <c r="F34" s="244"/>
      <c r="G34" s="245">
        <f>VLOOKUP(E34,E24:Q27,3,FALSE)</f>
        <v>0</v>
      </c>
      <c r="H34" s="243"/>
      <c r="I34" s="246"/>
      <c r="J34" s="119">
        <f>VLOOKUP(E34,E24:Q27,6,FALSE)</f>
        <v>0</v>
      </c>
      <c r="K34" s="134" t="s">
        <v>24</v>
      </c>
      <c r="L34" s="135">
        <f>VLOOKUP(E34,E24:Q27,8,FALSE)</f>
        <v>0</v>
      </c>
      <c r="M34" s="136">
        <f>VLOOKUP(E34,E24:Q27,9,FALSE)</f>
        <v>0</v>
      </c>
      <c r="N34" s="134" t="s">
        <v>24</v>
      </c>
      <c r="O34" s="137">
        <f>VLOOKUP(E34,E24:Q27,11,FALSE)</f>
        <v>0</v>
      </c>
      <c r="P34" s="247">
        <f>M34-O34</f>
        <v>0</v>
      </c>
      <c r="Q34" s="248"/>
      <c r="R34" s="5"/>
      <c r="S34" s="5"/>
      <c r="T34" s="5"/>
      <c r="U34" s="5"/>
      <c r="V34" s="5"/>
      <c r="W34" s="5"/>
      <c r="X34" s="26"/>
    </row>
    <row r="35" spans="1:24" ht="20.100000000000001" customHeight="1" x14ac:dyDescent="0.25">
      <c r="A35" s="24"/>
      <c r="B35" s="5"/>
      <c r="C35" s="34"/>
      <c r="D35" s="132" t="s">
        <v>13</v>
      </c>
      <c r="E35" s="249" t="str">
        <f>IF(U5=0,Turnierdaten!B5,VLOOKUP(2,D24:F26,2,FALSE))</f>
        <v>Seed 3</v>
      </c>
      <c r="F35" s="250"/>
      <c r="G35" s="251">
        <f>VLOOKUP(E35,E24:P27,3,FALSE)</f>
        <v>0</v>
      </c>
      <c r="H35" s="249"/>
      <c r="I35" s="252"/>
      <c r="J35" s="102">
        <f>VLOOKUP(E35,E24:Q27,6,FALSE)</f>
        <v>0</v>
      </c>
      <c r="K35" s="130" t="s">
        <v>24</v>
      </c>
      <c r="L35" s="131">
        <f>VLOOKUP(E35,E24:Q27,8,FALSE)</f>
        <v>0</v>
      </c>
      <c r="M35" s="132">
        <f>VLOOKUP(E35,E24:Q27,9,FALSE)</f>
        <v>0</v>
      </c>
      <c r="N35" s="130" t="s">
        <v>24</v>
      </c>
      <c r="O35" s="133">
        <f>VLOOKUP(E35,E24:Q27,11,FALSE)</f>
        <v>0</v>
      </c>
      <c r="P35" s="253">
        <f>M35-O35</f>
        <v>0</v>
      </c>
      <c r="Q35" s="254"/>
      <c r="R35" s="5"/>
      <c r="S35" s="5"/>
      <c r="T35" s="5"/>
      <c r="U35" s="5"/>
      <c r="V35" s="5"/>
      <c r="W35" s="5"/>
      <c r="X35" s="26"/>
    </row>
    <row r="36" spans="1:24" ht="20.100000000000001" customHeight="1" thickBot="1" x14ac:dyDescent="0.3">
      <c r="A36" s="24"/>
      <c r="B36" s="5"/>
      <c r="C36" s="34"/>
      <c r="D36" s="128" t="s">
        <v>14</v>
      </c>
      <c r="E36" s="255" t="str">
        <f>IF(U5=0,Turnierdaten!B8,VLOOKUP(3,D24:F26,2,FALSE))</f>
        <v>Seed 6</v>
      </c>
      <c r="F36" s="256"/>
      <c r="G36" s="257">
        <f>VLOOKUP(E36,E24:P27,3,FALSE)</f>
        <v>0</v>
      </c>
      <c r="H36" s="255"/>
      <c r="I36" s="258"/>
      <c r="J36" s="110">
        <f>VLOOKUP(E36,E24:Q27,6,FALSE)</f>
        <v>0</v>
      </c>
      <c r="K36" s="126" t="s">
        <v>24</v>
      </c>
      <c r="L36" s="127">
        <f>VLOOKUP(E36,E24:Q27,8,FALSE)</f>
        <v>0</v>
      </c>
      <c r="M36" s="128">
        <f>VLOOKUP(E36,E24:Q27,9,FALSE)</f>
        <v>0</v>
      </c>
      <c r="N36" s="126" t="s">
        <v>24</v>
      </c>
      <c r="O36" s="129">
        <f>VLOOKUP(E36,E24:Q27,11,FALSE)</f>
        <v>0</v>
      </c>
      <c r="P36" s="312">
        <f>M36-O36</f>
        <v>0</v>
      </c>
      <c r="Q36" s="313"/>
      <c r="R36" s="5"/>
      <c r="S36" s="5"/>
      <c r="T36" s="5"/>
      <c r="U36" s="5"/>
      <c r="V36" s="5"/>
      <c r="W36" s="5"/>
      <c r="X36" s="26"/>
    </row>
    <row r="37" spans="1:24" ht="15.75" thickBot="1" x14ac:dyDescent="0.3">
      <c r="A37" s="2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6"/>
    </row>
    <row r="38" spans="1:24" ht="20.100000000000001" customHeight="1" thickBot="1" x14ac:dyDescent="0.35">
      <c r="A38" s="24"/>
      <c r="B38" s="5"/>
      <c r="C38" s="5"/>
      <c r="D38" s="316" t="s">
        <v>55</v>
      </c>
      <c r="E38" s="317"/>
      <c r="F38" s="31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6"/>
    </row>
    <row r="39" spans="1:24" ht="20.100000000000001" customHeight="1" x14ac:dyDescent="0.25">
      <c r="A39" s="24"/>
      <c r="B39" s="5"/>
      <c r="C39" s="5"/>
      <c r="D39" s="186" t="s">
        <v>12</v>
      </c>
      <c r="E39" s="314" t="str">
        <f>IF(L15="","Sieger Spiel 11",IF(AK15=1,C15,E15))</f>
        <v>Sieger Spiel 11</v>
      </c>
      <c r="F39" s="3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6"/>
    </row>
    <row r="40" spans="1:24" ht="20.100000000000001" customHeight="1" x14ac:dyDescent="0.25">
      <c r="A40" s="24"/>
      <c r="B40" s="5"/>
      <c r="C40" s="5"/>
      <c r="D40" s="184" t="s">
        <v>13</v>
      </c>
      <c r="E40" s="319" t="str">
        <f>IF(L15="","Verlierer Spiel 11",IF(AK15=0,C15,E15))</f>
        <v>Verlierer Spiel 11</v>
      </c>
      <c r="F40" s="32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1:24" ht="20.100000000000001" customHeight="1" x14ac:dyDescent="0.25">
      <c r="A41" s="24"/>
      <c r="B41" s="5"/>
      <c r="C41" s="5"/>
      <c r="D41" s="183" t="s">
        <v>14</v>
      </c>
      <c r="E41" s="321" t="str">
        <f>IF(L14="","Sieger Spiel 10",IF(AK14=1,C14,E14))</f>
        <v>Sieger Spiel 10</v>
      </c>
      <c r="F41" s="32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6"/>
    </row>
    <row r="42" spans="1:24" ht="20.100000000000001" customHeight="1" x14ac:dyDescent="0.25">
      <c r="A42" s="24"/>
      <c r="B42" s="5"/>
      <c r="C42" s="5"/>
      <c r="D42" s="184" t="s">
        <v>15</v>
      </c>
      <c r="E42" s="319" t="str">
        <f>IF(L14="","Verlierer Spiel 10",IF(AK14=0,C14,E14))</f>
        <v>Verlierer Spiel 10</v>
      </c>
      <c r="F42" s="32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1:24" ht="20.100000000000001" customHeight="1" x14ac:dyDescent="0.25">
      <c r="A43" s="24"/>
      <c r="B43" s="5"/>
      <c r="C43" s="5"/>
      <c r="D43" s="183" t="s">
        <v>16</v>
      </c>
      <c r="E43" s="321" t="str">
        <f>IF(L13="","Sieger Spiel 9",IF(AK13=1,C13,E13))</f>
        <v>Sieger Spiel 9</v>
      </c>
      <c r="F43" s="32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6"/>
    </row>
    <row r="44" spans="1:24" ht="20.100000000000001" customHeight="1" thickBot="1" x14ac:dyDescent="0.3">
      <c r="A44" s="24"/>
      <c r="B44" s="5"/>
      <c r="C44" s="5"/>
      <c r="D44" s="185" t="s">
        <v>17</v>
      </c>
      <c r="E44" s="323" t="str">
        <f>IF(L13="","Verlierer Spiel 9",IF(AK13=0,C13,E13))</f>
        <v>Verlierer Spiel 9</v>
      </c>
      <c r="F44" s="32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1:24" ht="15.75" thickBot="1" x14ac:dyDescent="0.3">
      <c r="A45" s="2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9"/>
    </row>
  </sheetData>
  <mergeCells count="79">
    <mergeCell ref="E40:F40"/>
    <mergeCell ref="E41:F41"/>
    <mergeCell ref="E42:F42"/>
    <mergeCell ref="E43:F43"/>
    <mergeCell ref="E44:F44"/>
    <mergeCell ref="E36:F36"/>
    <mergeCell ref="G36:I36"/>
    <mergeCell ref="P36:Q36"/>
    <mergeCell ref="E39:F39"/>
    <mergeCell ref="D38:F38"/>
    <mergeCell ref="E34:F34"/>
    <mergeCell ref="G34:I34"/>
    <mergeCell ref="P34:Q34"/>
    <mergeCell ref="E35:F35"/>
    <mergeCell ref="G35:I35"/>
    <mergeCell ref="P35:Q35"/>
    <mergeCell ref="E26:F26"/>
    <mergeCell ref="G26:I26"/>
    <mergeCell ref="P26:Q26"/>
    <mergeCell ref="AA23:AM23"/>
    <mergeCell ref="J33:L33"/>
    <mergeCell ref="M33:O33"/>
    <mergeCell ref="E24:F24"/>
    <mergeCell ref="G24:I24"/>
    <mergeCell ref="P24:Q24"/>
    <mergeCell ref="E25:F25"/>
    <mergeCell ref="G25:I25"/>
    <mergeCell ref="P25:Q25"/>
    <mergeCell ref="P31:Q31"/>
    <mergeCell ref="G28:I28"/>
    <mergeCell ref="J28:L28"/>
    <mergeCell ref="M28:O28"/>
    <mergeCell ref="E19:F19"/>
    <mergeCell ref="E20:F20"/>
    <mergeCell ref="AK4:AM4"/>
    <mergeCell ref="U4:W4"/>
    <mergeCell ref="C4:E4"/>
    <mergeCell ref="G19:I19"/>
    <mergeCell ref="G20:I20"/>
    <mergeCell ref="P19:Q19"/>
    <mergeCell ref="P20:Q20"/>
    <mergeCell ref="AA2:AM2"/>
    <mergeCell ref="G1:O2"/>
    <mergeCell ref="G18:I18"/>
    <mergeCell ref="J18:L18"/>
    <mergeCell ref="M18:O18"/>
    <mergeCell ref="AA18:AM18"/>
    <mergeCell ref="M4:O4"/>
    <mergeCell ref="Q4:S4"/>
    <mergeCell ref="AG4:AI4"/>
    <mergeCell ref="P18:Q18"/>
    <mergeCell ref="G4:I4"/>
    <mergeCell ref="J4:L4"/>
    <mergeCell ref="AA4:AC4"/>
    <mergeCell ref="AD4:AF4"/>
    <mergeCell ref="E22:F22"/>
    <mergeCell ref="E21:F21"/>
    <mergeCell ref="G23:I23"/>
    <mergeCell ref="P23:Q23"/>
    <mergeCell ref="J23:L23"/>
    <mergeCell ref="M23:O23"/>
    <mergeCell ref="P21:Q21"/>
    <mergeCell ref="P22:Q22"/>
    <mergeCell ref="P28:Q28"/>
    <mergeCell ref="G21:I21"/>
    <mergeCell ref="G22:I22"/>
    <mergeCell ref="G33:I33"/>
    <mergeCell ref="P33:Q33"/>
    <mergeCell ref="E32:F32"/>
    <mergeCell ref="G32:I32"/>
    <mergeCell ref="P32:Q32"/>
    <mergeCell ref="E29:F29"/>
    <mergeCell ref="G29:I29"/>
    <mergeCell ref="P29:Q29"/>
    <mergeCell ref="E30:F30"/>
    <mergeCell ref="G30:I30"/>
    <mergeCell ref="P30:Q30"/>
    <mergeCell ref="E31:F31"/>
    <mergeCell ref="G31:I31"/>
  </mergeCells>
  <pageMargins left="0.70000000000000007" right="0.70000000000000007" top="0.78740157500000008" bottom="0.78740157500000008" header="0.30000000000000004" footer="0.3000000000000000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70" zoomScaleNormal="90" zoomScaleSheetLayoutView="70" workbookViewId="0">
      <selection activeCell="G4" sqref="G4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333" t="s">
        <v>66</v>
      </c>
      <c r="H2" s="334"/>
      <c r="I2" s="334"/>
      <c r="J2" s="334"/>
      <c r="K2" s="335"/>
    </row>
    <row r="3" spans="1:21" ht="30" customHeight="1" thickBot="1" x14ac:dyDescent="0.3">
      <c r="A3" s="5"/>
      <c r="B3" s="5"/>
      <c r="C3" s="5"/>
      <c r="D3" s="5"/>
      <c r="E3" s="5"/>
      <c r="F3" s="5"/>
      <c r="G3" s="336"/>
      <c r="H3" s="337"/>
      <c r="I3" s="337"/>
      <c r="J3" s="337"/>
      <c r="K3" s="338"/>
      <c r="L3" s="5"/>
    </row>
    <row r="4" spans="1:21" ht="24.95" customHeight="1" thickBot="1" x14ac:dyDescent="0.45">
      <c r="A4" s="27"/>
      <c r="B4" s="27"/>
      <c r="C4" s="83" t="s">
        <v>9</v>
      </c>
      <c r="D4" s="27"/>
      <c r="E4" s="27"/>
      <c r="F4" s="27"/>
      <c r="G4" s="27"/>
      <c r="H4" s="27"/>
      <c r="I4" s="4"/>
      <c r="J4" s="27"/>
      <c r="K4" s="27"/>
      <c r="L4" s="27"/>
      <c r="M4" s="5"/>
    </row>
    <row r="5" spans="1:21" ht="24.95" customHeight="1" thickBot="1" x14ac:dyDescent="0.3">
      <c r="A5" s="27"/>
      <c r="B5" s="141"/>
      <c r="C5" s="142" t="s">
        <v>10</v>
      </c>
      <c r="D5" s="27"/>
      <c r="E5" s="339" t="s">
        <v>0</v>
      </c>
      <c r="F5" s="330"/>
      <c r="G5" s="155" t="s">
        <v>18</v>
      </c>
      <c r="H5" s="328" t="s">
        <v>44</v>
      </c>
      <c r="I5" s="329"/>
      <c r="J5" s="330"/>
      <c r="K5" s="156" t="s">
        <v>20</v>
      </c>
      <c r="L5" s="62"/>
      <c r="M5" s="296" t="s">
        <v>23</v>
      </c>
      <c r="N5" s="288"/>
      <c r="O5" s="289"/>
      <c r="P5" s="296" t="s">
        <v>25</v>
      </c>
      <c r="Q5" s="288"/>
      <c r="R5" s="289"/>
      <c r="S5" s="287" t="s">
        <v>26</v>
      </c>
      <c r="T5" s="288"/>
      <c r="U5" s="289"/>
    </row>
    <row r="6" spans="1:21" ht="24.95" customHeight="1" x14ac:dyDescent="0.25">
      <c r="A6" s="27"/>
      <c r="B6" s="61" t="s">
        <v>12</v>
      </c>
      <c r="C6" s="79" t="str">
        <f>Turnierdaten!$B$3</f>
        <v>Seed 1</v>
      </c>
      <c r="D6" s="27"/>
      <c r="E6" s="187"/>
      <c r="F6" s="188">
        <f>Turnierdaten!D3</f>
        <v>0.375</v>
      </c>
      <c r="G6" s="157" t="s">
        <v>12</v>
      </c>
      <c r="H6" s="78" t="str">
        <f>C6</f>
        <v>Seed 1</v>
      </c>
      <c r="I6" s="78" t="s">
        <v>11</v>
      </c>
      <c r="J6" s="158" t="str">
        <f>C8</f>
        <v>Seed 5</v>
      </c>
      <c r="K6" s="159" t="str">
        <f>C7</f>
        <v>Seed 4</v>
      </c>
      <c r="L6" s="27"/>
      <c r="M6" s="61" t="str">
        <f>IF(Ergebnisse!G5="","",Ergebnisse!G5)</f>
        <v/>
      </c>
      <c r="N6" s="78" t="s">
        <v>24</v>
      </c>
      <c r="O6" s="158" t="str">
        <f>IF(Ergebnisse!I5="","",Ergebnisse!I5)</f>
        <v/>
      </c>
      <c r="P6" s="61" t="str">
        <f>IF(Ergebnisse!J5="","",Ergebnisse!J5)</f>
        <v/>
      </c>
      <c r="Q6" s="80" t="s">
        <v>24</v>
      </c>
      <c r="R6" s="79" t="str">
        <f>IF(Ergebnisse!L5="","",Ergebnisse!L5)</f>
        <v/>
      </c>
      <c r="S6" s="157" t="str">
        <f>IF(Ergebnisse!M5="","",Ergebnisse!M5)</f>
        <v/>
      </c>
      <c r="T6" s="78" t="s">
        <v>24</v>
      </c>
      <c r="U6" s="79" t="str">
        <f>IF(Ergebnisse!O5="","",Ergebnisse!O5)</f>
        <v/>
      </c>
    </row>
    <row r="7" spans="1:21" ht="24.95" customHeight="1" x14ac:dyDescent="0.25">
      <c r="A7" s="27"/>
      <c r="B7" s="63" t="s">
        <v>13</v>
      </c>
      <c r="C7" s="64" t="str">
        <f>Turnierdaten!$B$6</f>
        <v>Seed 4</v>
      </c>
      <c r="D7" s="27"/>
      <c r="E7" s="173" t="s">
        <v>38</v>
      </c>
      <c r="F7" s="174">
        <f>Turnierdaten!D6+Turnierdaten!I7+F6</f>
        <v>25.399305555555554</v>
      </c>
      <c r="G7" s="151" t="s">
        <v>13</v>
      </c>
      <c r="H7" s="152" t="str">
        <f>C11</f>
        <v>Seed 2</v>
      </c>
      <c r="I7" s="152" t="s">
        <v>11</v>
      </c>
      <c r="J7" s="153" t="str">
        <f>C13</f>
        <v>Seed 6</v>
      </c>
      <c r="K7" s="154" t="str">
        <f>C12</f>
        <v>Seed 3</v>
      </c>
      <c r="L7" s="27"/>
      <c r="M7" s="147" t="str">
        <f>IF(Ergebnisse!G6="","",Ergebnisse!G6)</f>
        <v/>
      </c>
      <c r="N7" s="152" t="s">
        <v>24</v>
      </c>
      <c r="O7" s="153" t="str">
        <f>IF(Ergebnisse!I6="","",Ergebnisse!I6)</f>
        <v/>
      </c>
      <c r="P7" s="147" t="str">
        <f>IF(Ergebnisse!J6="","",Ergebnisse!J6)</f>
        <v/>
      </c>
      <c r="Q7" s="170" t="s">
        <v>24</v>
      </c>
      <c r="R7" s="148" t="str">
        <f>IF(Ergebnisse!L6="","",Ergebnisse!L6)</f>
        <v/>
      </c>
      <c r="S7" s="151" t="str">
        <f>IF(Ergebnisse!M6="","",Ergebnisse!M6)</f>
        <v/>
      </c>
      <c r="T7" s="152" t="s">
        <v>24</v>
      </c>
      <c r="U7" s="148" t="str">
        <f>IF(Ergebnisse!O6="","",Ergebnisse!O6)</f>
        <v/>
      </c>
    </row>
    <row r="8" spans="1:21" ht="24.95" customHeight="1" thickBot="1" x14ac:dyDescent="0.3">
      <c r="A8" s="27"/>
      <c r="B8" s="68" t="s">
        <v>14</v>
      </c>
      <c r="C8" s="69" t="str">
        <f>Turnierdaten!$B$7</f>
        <v>Seed 5</v>
      </c>
      <c r="D8" s="27"/>
      <c r="E8" s="173" t="s">
        <v>38</v>
      </c>
      <c r="F8" s="174">
        <f>Turnierdaten!D6+Turnierdaten!I7+F7</f>
        <v>50.423611111111107</v>
      </c>
      <c r="G8" s="89" t="s">
        <v>14</v>
      </c>
      <c r="H8" s="65" t="str">
        <f>C7</f>
        <v>Seed 4</v>
      </c>
      <c r="I8" s="65" t="s">
        <v>11</v>
      </c>
      <c r="J8" s="66" t="str">
        <f>C8</f>
        <v>Seed 5</v>
      </c>
      <c r="K8" s="67" t="str">
        <f>C6</f>
        <v>Seed 1</v>
      </c>
      <c r="L8" s="27"/>
      <c r="M8" s="63" t="str">
        <f>IF(Ergebnisse!G7="","",Ergebnisse!G7)</f>
        <v/>
      </c>
      <c r="N8" s="65" t="s">
        <v>24</v>
      </c>
      <c r="O8" s="66" t="str">
        <f>IF(Ergebnisse!I7="","",Ergebnisse!I7)</f>
        <v/>
      </c>
      <c r="P8" s="63" t="str">
        <f>IF(Ergebnisse!J7="","",Ergebnisse!J7)</f>
        <v/>
      </c>
      <c r="Q8" s="81" t="s">
        <v>24</v>
      </c>
      <c r="R8" s="64" t="str">
        <f>IF(Ergebnisse!L7="","",Ergebnisse!L7)</f>
        <v/>
      </c>
      <c r="S8" s="89" t="str">
        <f>IF(Ergebnisse!M7="","",Ergebnisse!M7)</f>
        <v/>
      </c>
      <c r="T8" s="65" t="s">
        <v>24</v>
      </c>
      <c r="U8" s="64" t="str">
        <f>IF(Ergebnisse!O7="","",Ergebnisse!O7)</f>
        <v/>
      </c>
    </row>
    <row r="9" spans="1:21" ht="24.95" customHeight="1" thickBot="1" x14ac:dyDescent="0.3">
      <c r="A9" s="27"/>
      <c r="D9" s="27"/>
      <c r="E9" s="173" t="s">
        <v>38</v>
      </c>
      <c r="F9" s="174">
        <f>Turnierdaten!D6+Turnierdaten!I7+F8</f>
        <v>75.447916666666657</v>
      </c>
      <c r="G9" s="151" t="s">
        <v>15</v>
      </c>
      <c r="H9" s="152" t="str">
        <f>C12</f>
        <v>Seed 3</v>
      </c>
      <c r="I9" s="152" t="s">
        <v>11</v>
      </c>
      <c r="J9" s="153" t="str">
        <f>C13</f>
        <v>Seed 6</v>
      </c>
      <c r="K9" s="154" t="str">
        <f>C11</f>
        <v>Seed 2</v>
      </c>
      <c r="L9" s="27"/>
      <c r="M9" s="147" t="str">
        <f>IF(Ergebnisse!G8="","",Ergebnisse!G8)</f>
        <v/>
      </c>
      <c r="N9" s="152" t="s">
        <v>24</v>
      </c>
      <c r="O9" s="153" t="str">
        <f>IF(Ergebnisse!I8="","",Ergebnisse!I8)</f>
        <v/>
      </c>
      <c r="P9" s="147" t="str">
        <f>IF(Ergebnisse!J8="","",Ergebnisse!J8)</f>
        <v/>
      </c>
      <c r="Q9" s="170" t="s">
        <v>24</v>
      </c>
      <c r="R9" s="148" t="str">
        <f>IF(Ergebnisse!L8="","",Ergebnisse!L8)</f>
        <v/>
      </c>
      <c r="S9" s="151" t="str">
        <f>IF(Ergebnisse!M8="","",Ergebnisse!M8)</f>
        <v/>
      </c>
      <c r="T9" s="152" t="s">
        <v>24</v>
      </c>
      <c r="U9" s="148" t="str">
        <f>IF(Ergebnisse!O8="","",Ergebnisse!O8)</f>
        <v/>
      </c>
    </row>
    <row r="10" spans="1:21" ht="24.95" customHeight="1" thickBot="1" x14ac:dyDescent="0.3">
      <c r="A10" s="27"/>
      <c r="B10" s="143"/>
      <c r="C10" s="144" t="s">
        <v>43</v>
      </c>
      <c r="D10" s="27"/>
      <c r="E10" s="173" t="s">
        <v>38</v>
      </c>
      <c r="F10" s="174">
        <f>Turnierdaten!D6+Turnierdaten!I7+F9</f>
        <v>100.47222222222221</v>
      </c>
      <c r="G10" s="89" t="s">
        <v>16</v>
      </c>
      <c r="H10" s="65" t="str">
        <f>C6</f>
        <v>Seed 1</v>
      </c>
      <c r="I10" s="65" t="s">
        <v>11</v>
      </c>
      <c r="J10" s="66" t="str">
        <f>C7</f>
        <v>Seed 4</v>
      </c>
      <c r="K10" s="67" t="str">
        <f>C8</f>
        <v>Seed 5</v>
      </c>
      <c r="L10" s="27"/>
      <c r="M10" s="63" t="str">
        <f>IF(Ergebnisse!G9="","",Ergebnisse!G9)</f>
        <v/>
      </c>
      <c r="N10" s="65" t="s">
        <v>24</v>
      </c>
      <c r="O10" s="66" t="str">
        <f>IF(Ergebnisse!I9="","",Ergebnisse!I9)</f>
        <v/>
      </c>
      <c r="P10" s="63" t="str">
        <f>IF(Ergebnisse!J9="","",Ergebnisse!J9)</f>
        <v/>
      </c>
      <c r="Q10" s="81" t="s">
        <v>24</v>
      </c>
      <c r="R10" s="64" t="str">
        <f>IF(Ergebnisse!L9="","",Ergebnisse!L9)</f>
        <v/>
      </c>
      <c r="S10" s="89" t="str">
        <f>IF(Ergebnisse!M9="","",Ergebnisse!M9)</f>
        <v/>
      </c>
      <c r="T10" s="65" t="s">
        <v>24</v>
      </c>
      <c r="U10" s="64" t="str">
        <f>IF(Ergebnisse!O9="","",Ergebnisse!O9)</f>
        <v/>
      </c>
    </row>
    <row r="11" spans="1:21" ht="24.95" customHeight="1" thickBot="1" x14ac:dyDescent="0.3">
      <c r="A11" s="27"/>
      <c r="B11" s="145" t="s">
        <v>15</v>
      </c>
      <c r="C11" s="146" t="str">
        <f>Turnierdaten!$B$4</f>
        <v>Seed 2</v>
      </c>
      <c r="D11" s="27"/>
      <c r="E11" s="171" t="s">
        <v>38</v>
      </c>
      <c r="F11" s="172">
        <f>Turnierdaten!D6+Turnierdaten!I7+F10</f>
        <v>125.49652777777777</v>
      </c>
      <c r="G11" s="160" t="s">
        <v>17</v>
      </c>
      <c r="H11" s="161" t="str">
        <f>C11</f>
        <v>Seed 2</v>
      </c>
      <c r="I11" s="161" t="s">
        <v>11</v>
      </c>
      <c r="J11" s="162" t="str">
        <f>C12</f>
        <v>Seed 3</v>
      </c>
      <c r="K11" s="163" t="str">
        <f>C13</f>
        <v>Seed 6</v>
      </c>
      <c r="L11" s="27"/>
      <c r="M11" s="149" t="str">
        <f>IF(Ergebnisse!G10="","",Ergebnisse!G10)</f>
        <v/>
      </c>
      <c r="N11" s="161" t="s">
        <v>24</v>
      </c>
      <c r="O11" s="162" t="str">
        <f>IF(Ergebnisse!I10="","",Ergebnisse!I10)</f>
        <v/>
      </c>
      <c r="P11" s="149" t="str">
        <f>IF(Ergebnisse!J10="","",Ergebnisse!J10)</f>
        <v/>
      </c>
      <c r="Q11" s="212" t="s">
        <v>24</v>
      </c>
      <c r="R11" s="150" t="str">
        <f>IF(Ergebnisse!L10="","",Ergebnisse!L10)</f>
        <v/>
      </c>
      <c r="S11" s="160" t="str">
        <f>IF(Ergebnisse!M10="","",Ergebnisse!M10)</f>
        <v/>
      </c>
      <c r="T11" s="161" t="s">
        <v>24</v>
      </c>
      <c r="U11" s="150" t="str">
        <f>IF(Ergebnisse!O10="","",Ergebnisse!O10)</f>
        <v/>
      </c>
    </row>
    <row r="12" spans="1:21" ht="24.95" customHeight="1" thickBot="1" x14ac:dyDescent="0.3">
      <c r="A12" s="27"/>
      <c r="B12" s="147" t="s">
        <v>16</v>
      </c>
      <c r="C12" s="148" t="str">
        <f>Turnierdaten!$B$5</f>
        <v>Seed 3</v>
      </c>
      <c r="D12" s="27"/>
      <c r="E12" s="165"/>
      <c r="F12" s="166"/>
      <c r="G12" s="168"/>
      <c r="H12" s="328" t="s">
        <v>45</v>
      </c>
      <c r="I12" s="329"/>
      <c r="J12" s="330"/>
      <c r="K12" s="169"/>
      <c r="L12" s="62"/>
      <c r="M12" s="331"/>
      <c r="N12" s="242"/>
      <c r="O12" s="242"/>
      <c r="P12" s="242"/>
      <c r="Q12" s="242"/>
      <c r="R12" s="242"/>
      <c r="S12" s="242"/>
      <c r="T12" s="242"/>
      <c r="U12" s="332"/>
    </row>
    <row r="13" spans="1:21" ht="24.95" customHeight="1" thickBot="1" x14ac:dyDescent="0.3">
      <c r="A13" s="27"/>
      <c r="B13" s="149" t="s">
        <v>17</v>
      </c>
      <c r="C13" s="150" t="str">
        <f>Turnierdaten!$B$8</f>
        <v>Seed 6</v>
      </c>
      <c r="D13" s="27"/>
      <c r="E13" s="60" t="s">
        <v>38</v>
      </c>
      <c r="F13" s="164">
        <f>Turnierdaten!D6+Turnierdaten!I7+F11</f>
        <v>150.52083333333331</v>
      </c>
      <c r="G13" s="61" t="s">
        <v>39</v>
      </c>
      <c r="H13" s="78" t="str">
        <f>Ergebnisse!C11</f>
        <v>1.Gruppe A</v>
      </c>
      <c r="I13" s="78" t="s">
        <v>11</v>
      </c>
      <c r="J13" s="79" t="str">
        <f>Ergebnisse!E11</f>
        <v>2.Gruppe B</v>
      </c>
      <c r="K13" s="213" t="str">
        <f>IF(Ergebnisse!L9="","3. Gruppe A", Ergebnisse!E31)</f>
        <v>3. Gruppe A</v>
      </c>
      <c r="L13" s="27"/>
      <c r="M13" s="61" t="str">
        <f>IF(Ergebnisse!G11="","",Ergebnisse!G11)</f>
        <v/>
      </c>
      <c r="N13" s="78" t="s">
        <v>24</v>
      </c>
      <c r="O13" s="158" t="str">
        <f>IF(Ergebnisse!I11="","",Ergebnisse!I11)</f>
        <v/>
      </c>
      <c r="P13" s="61" t="str">
        <f>IF(Ergebnisse!J11="","",Ergebnisse!J11)</f>
        <v/>
      </c>
      <c r="Q13" s="80" t="s">
        <v>24</v>
      </c>
      <c r="R13" s="79" t="str">
        <f>IF(Ergebnisse!L11="","",Ergebnisse!L11)</f>
        <v/>
      </c>
      <c r="S13" s="157" t="str">
        <f>IF(Ergebnisse!M11="","",Ergebnisse!M11)</f>
        <v/>
      </c>
      <c r="T13" s="78" t="s">
        <v>24</v>
      </c>
      <c r="U13" s="79" t="str">
        <f>IF(Ergebnisse!O11="","",Ergebnisse!O11)</f>
        <v/>
      </c>
    </row>
    <row r="14" spans="1:21" ht="24.95" customHeight="1" thickBot="1" x14ac:dyDescent="0.3">
      <c r="A14" s="27"/>
      <c r="D14" s="73"/>
      <c r="E14" s="104" t="s">
        <v>38</v>
      </c>
      <c r="F14" s="167">
        <f>Turnierdaten!D9+Turnierdaten!I7+F13</f>
        <v>150.55555555555554</v>
      </c>
      <c r="G14" s="63" t="s">
        <v>40</v>
      </c>
      <c r="H14" s="65" t="str">
        <f>Ergebnisse!C12</f>
        <v>1.Gruppe B</v>
      </c>
      <c r="I14" s="65" t="s">
        <v>11</v>
      </c>
      <c r="J14" s="64" t="str">
        <f>Ergebnisse!E12</f>
        <v>2.Gruppe A</v>
      </c>
      <c r="K14" s="214" t="str">
        <f>IF(Ergebnisse!L11="","Sieger Spiel 7",Ergebnisse!C15)</f>
        <v>Sieger Spiel 7</v>
      </c>
      <c r="L14" s="27"/>
      <c r="M14" s="63" t="str">
        <f>IF(Ergebnisse!G12="","",Ergebnisse!G12)</f>
        <v/>
      </c>
      <c r="N14" s="65" t="s">
        <v>24</v>
      </c>
      <c r="O14" s="66" t="str">
        <f>IF(Ergebnisse!I12="","",Ergebnisse!I12)</f>
        <v/>
      </c>
      <c r="P14" s="63" t="str">
        <f>IF(Ergebnisse!J12="","",Ergebnisse!J12)</f>
        <v/>
      </c>
      <c r="Q14" s="81" t="s">
        <v>24</v>
      </c>
      <c r="R14" s="64" t="str">
        <f>IF(Ergebnisse!L12="","",Ergebnisse!L12)</f>
        <v/>
      </c>
      <c r="S14" s="89" t="str">
        <f>IF(Ergebnisse!M12="","",Ergebnisse!M12)</f>
        <v/>
      </c>
      <c r="T14" s="65" t="s">
        <v>24</v>
      </c>
      <c r="U14" s="64" t="str">
        <f>IF(Ergebnisse!O12="","",Ergebnisse!O12)</f>
        <v/>
      </c>
    </row>
    <row r="15" spans="1:21" ht="24.95" customHeight="1" thickBot="1" x14ac:dyDescent="0.3">
      <c r="A15" s="27"/>
      <c r="B15" s="27"/>
      <c r="C15" s="77" t="s">
        <v>49</v>
      </c>
      <c r="D15" s="27"/>
      <c r="E15" s="104" t="s">
        <v>38</v>
      </c>
      <c r="F15" s="167">
        <f>Turnierdaten!D9+Turnierdaten!I7+F14</f>
        <v>150.59027777777777</v>
      </c>
      <c r="G15" s="147" t="s">
        <v>41</v>
      </c>
      <c r="H15" s="152" t="str">
        <f>Ergebnisse!C13</f>
        <v>3.Gruppe A</v>
      </c>
      <c r="I15" s="152" t="s">
        <v>11</v>
      </c>
      <c r="J15" s="148" t="str">
        <f>Ergebnisse!E13</f>
        <v>3.Gruppe B</v>
      </c>
      <c r="K15" s="215" t="str">
        <f>IF(Ergebnisse!L13="","Sieger Spiel 8",Ergebnisse!E15)</f>
        <v>Sieger Spiel 8</v>
      </c>
      <c r="L15" s="27"/>
      <c r="M15" s="147" t="str">
        <f>IF(Ergebnisse!G13="","",Ergebnisse!G13)</f>
        <v/>
      </c>
      <c r="N15" s="152" t="s">
        <v>24</v>
      </c>
      <c r="O15" s="153" t="str">
        <f>IF(Ergebnisse!I13="","",Ergebnisse!I13)</f>
        <v/>
      </c>
      <c r="P15" s="147" t="str">
        <f>IF(Ergebnisse!J13="","",Ergebnisse!J13)</f>
        <v/>
      </c>
      <c r="Q15" s="170" t="s">
        <v>24</v>
      </c>
      <c r="R15" s="148" t="str">
        <f>IF(Ergebnisse!L13="","",Ergebnisse!L13)</f>
        <v/>
      </c>
      <c r="S15" s="151" t="str">
        <f>IF(Ergebnisse!M13="","",Ergebnisse!M13)</f>
        <v/>
      </c>
      <c r="T15" s="152" t="s">
        <v>24</v>
      </c>
      <c r="U15" s="148" t="str">
        <f>IF(Ergebnisse!O13="","",Ergebnisse!O13)</f>
        <v/>
      </c>
    </row>
    <row r="16" spans="1:21" ht="24.95" customHeight="1" thickBot="1" x14ac:dyDescent="0.3">
      <c r="A16" s="5"/>
      <c r="B16" s="5"/>
      <c r="C16" s="70" t="str">
        <f>VLOOKUP(VALUE(Turnierdaten!D5),Turnierdaten!G3:H6,2)</f>
        <v>2 Sätze bis 15</v>
      </c>
      <c r="D16" s="5"/>
      <c r="E16" s="104" t="s">
        <v>38</v>
      </c>
      <c r="F16" s="167">
        <f>Turnierdaten!D9+Turnierdaten!I7+F15</f>
        <v>150.625</v>
      </c>
      <c r="G16" s="63" t="s">
        <v>42</v>
      </c>
      <c r="H16" s="65" t="str">
        <f>Ergebnisse!C14</f>
        <v>Verlierer Spiel 7</v>
      </c>
      <c r="I16" s="65" t="s">
        <v>11</v>
      </c>
      <c r="J16" s="64" t="str">
        <f>Ergebnisse!E14</f>
        <v>Verlierer Spiel 8</v>
      </c>
      <c r="K16" s="214" t="str">
        <f>J15</f>
        <v>3.Gruppe B</v>
      </c>
      <c r="M16" s="63" t="str">
        <f>IF(Ergebnisse!G14="","",Ergebnisse!G14)</f>
        <v/>
      </c>
      <c r="N16" s="65" t="s">
        <v>24</v>
      </c>
      <c r="O16" s="66" t="str">
        <f>IF(Ergebnisse!I14="","",Ergebnisse!I14)</f>
        <v/>
      </c>
      <c r="P16" s="63" t="str">
        <f>IF(Ergebnisse!J14="","",Ergebnisse!J14)</f>
        <v/>
      </c>
      <c r="Q16" s="81" t="s">
        <v>24</v>
      </c>
      <c r="R16" s="64" t="str">
        <f>IF(Ergebnisse!L14="","",Ergebnisse!L14)</f>
        <v/>
      </c>
      <c r="S16" s="89" t="str">
        <f>IF(Ergebnisse!M14="","",Ergebnisse!M14)</f>
        <v/>
      </c>
      <c r="T16" s="65" t="s">
        <v>24</v>
      </c>
      <c r="U16" s="64" t="str">
        <f>IF(Ergebnisse!O14="","",Ergebnisse!O14)</f>
        <v/>
      </c>
    </row>
    <row r="17" spans="3:21" ht="24.95" customHeight="1" thickBot="1" x14ac:dyDescent="0.3">
      <c r="E17" s="104" t="s">
        <v>38</v>
      </c>
      <c r="F17" s="167">
        <f>Turnierdaten!D9+Turnierdaten!I7+F16</f>
        <v>150.65972222222223</v>
      </c>
      <c r="G17" s="68" t="s">
        <v>46</v>
      </c>
      <c r="H17" s="71" t="str">
        <f>Ergebnisse!C15</f>
        <v>Sieger Spiel 7</v>
      </c>
      <c r="I17" s="71" t="s">
        <v>11</v>
      </c>
      <c r="J17" s="69" t="str">
        <f>Ergebnisse!E15</f>
        <v>Sieger Spiel 8</v>
      </c>
      <c r="K17" s="216" t="str">
        <f>IF(Ergebnisse!L14="","Verlierer Spiel 10",Ergebnisse!E42)</f>
        <v>Verlierer Spiel 10</v>
      </c>
      <c r="M17" s="68" t="str">
        <f>IF(Ergebnisse!G15="","",Ergebnisse!G15)</f>
        <v/>
      </c>
      <c r="N17" s="71" t="s">
        <v>24</v>
      </c>
      <c r="O17" s="72" t="str">
        <f>IF(Ergebnisse!I15="","",Ergebnisse!I15)</f>
        <v/>
      </c>
      <c r="P17" s="68" t="str">
        <f>IF(Ergebnisse!J15="","",Ergebnisse!J15)</f>
        <v/>
      </c>
      <c r="Q17" s="82" t="s">
        <v>24</v>
      </c>
      <c r="R17" s="69" t="str">
        <f>IF(Ergebnisse!L15="","",Ergebnisse!L15)</f>
        <v/>
      </c>
      <c r="S17" s="90" t="str">
        <f>IF(Ergebnisse!M15="","",Ergebnisse!M15)</f>
        <v/>
      </c>
      <c r="T17" s="71" t="s">
        <v>24</v>
      </c>
      <c r="U17" s="69" t="str">
        <f>IF(Ergebnisse!O15="","",Ergebnisse!O15)</f>
        <v/>
      </c>
    </row>
    <row r="18" spans="3:21" ht="24.95" customHeight="1" thickBot="1" x14ac:dyDescent="0.3">
      <c r="C18" s="77" t="s">
        <v>50</v>
      </c>
      <c r="E18" s="189" t="s">
        <v>38</v>
      </c>
      <c r="F18" s="190">
        <f>Turnierdaten!D9+F17</f>
        <v>150.6875</v>
      </c>
      <c r="G18" s="103" t="s">
        <v>37</v>
      </c>
    </row>
    <row r="19" spans="3:21" ht="24.95" customHeight="1" thickBot="1" x14ac:dyDescent="0.3">
      <c r="C19" s="70" t="str">
        <f>VLOOKUP(VALUE(Turnierdaten!D8),Turnierdaten!G3:H6,2)</f>
        <v>2 Gewinnsätze bis 21</v>
      </c>
    </row>
    <row r="21" spans="3:21" ht="15.75" thickBot="1" x14ac:dyDescent="0.3"/>
    <row r="22" spans="3:21" ht="21.75" thickBot="1" x14ac:dyDescent="0.4">
      <c r="C22" s="325" t="s">
        <v>57</v>
      </c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7"/>
    </row>
  </sheetData>
  <mergeCells count="9">
    <mergeCell ref="C22:U22"/>
    <mergeCell ref="H12:J12"/>
    <mergeCell ref="M12:U12"/>
    <mergeCell ref="S5:U5"/>
    <mergeCell ref="G2:K3"/>
    <mergeCell ref="E5:F5"/>
    <mergeCell ref="H5:J5"/>
    <mergeCell ref="M5:O5"/>
    <mergeCell ref="P5:R5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1B2C275-57B0-4E41-B7A9-B81991A23022}">
            <xm:f>Turnierdaten!E6=2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T6</xm:sqref>
        </x14:conditionalFormatting>
        <x14:conditionalFormatting xmlns:xm="http://schemas.microsoft.com/office/excel/2006/main">
          <x14:cfRule type="expression" priority="10" id="{936C662B-E50D-46E8-98F2-EFD0935F3CB9}">
            <xm:f>Turnierdaten!E7=2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T7</xm:sqref>
        </x14:conditionalFormatting>
        <x14:conditionalFormatting xmlns:xm="http://schemas.microsoft.com/office/excel/2006/main">
          <x14:cfRule type="expression" priority="9" id="{D4441710-9AA0-4E19-8C57-ABD29D99449B}">
            <xm:f>Turnierdaten!E8=2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T8</xm:sqref>
        </x14:conditionalFormatting>
        <x14:conditionalFormatting xmlns:xm="http://schemas.microsoft.com/office/excel/2006/main">
          <x14:cfRule type="expression" priority="8" id="{A70B0C20-A226-4251-9597-E7D9AC81C76C}">
            <xm:f>Turnierdaten!E9=2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T9</xm:sqref>
        </x14:conditionalFormatting>
        <x14:conditionalFormatting xmlns:xm="http://schemas.microsoft.com/office/excel/2006/main">
          <x14:cfRule type="expression" priority="7" id="{8ED8463F-FB0F-41AC-8D86-E3E6036AC961}">
            <xm:f>Turnierdaten!E10=2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T10</xm:sqref>
        </x14:conditionalFormatting>
        <x14:conditionalFormatting xmlns:xm="http://schemas.microsoft.com/office/excel/2006/main">
          <x14:cfRule type="expression" priority="6" id="{39FA1EF2-8CA8-46DC-9A29-27179414943C}">
            <xm:f>Turnierdaten!E11=2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T11</xm:sqref>
        </x14:conditionalFormatting>
        <x14:conditionalFormatting xmlns:xm="http://schemas.microsoft.com/office/excel/2006/main">
          <x14:cfRule type="expression" priority="5" id="{7E0845FC-9DB1-4D91-A346-7FCA68FEDA09}">
            <xm:f>Turnierdaten!E13=2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T13</xm:sqref>
        </x14:conditionalFormatting>
        <x14:conditionalFormatting xmlns:xm="http://schemas.microsoft.com/office/excel/2006/main">
          <x14:cfRule type="expression" priority="4" id="{53CF7F33-4390-491C-B32B-3F71157B2C4C}">
            <xm:f>Turnierdaten!E14=2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T14</xm:sqref>
        </x14:conditionalFormatting>
        <x14:conditionalFormatting xmlns:xm="http://schemas.microsoft.com/office/excel/2006/main">
          <x14:cfRule type="expression" priority="3" id="{EC83F655-91F2-4A48-BC6A-14487AF4F3C8}">
            <xm:f>Turnierdaten!E15=2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T15</xm:sqref>
        </x14:conditionalFormatting>
        <x14:conditionalFormatting xmlns:xm="http://schemas.microsoft.com/office/excel/2006/main">
          <x14:cfRule type="expression" priority="2" id="{4D9AF093-DE50-4A28-8BE3-A0A940A7F571}">
            <xm:f>Turnierdaten!E16=2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T16</xm:sqref>
        </x14:conditionalFormatting>
        <x14:conditionalFormatting xmlns:xm="http://schemas.microsoft.com/office/excel/2006/main">
          <x14:cfRule type="expression" priority="1" id="{3940EB9E-5C84-4FC4-B33D-5706DE2DB08E}">
            <xm:f>Turnierdaten!E17=2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Turnierdaten</vt:lpstr>
      <vt:lpstr>Ergebnisse</vt:lpstr>
      <vt:lpstr>Spielplan(Ausdruck)</vt:lpstr>
      <vt:lpstr>'Spielplan(Ausdruck)'!Druckbereich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Ohlms</dc:creator>
  <cp:lastModifiedBy>Arne Ohlms</cp:lastModifiedBy>
  <cp:lastPrinted>2013-01-23T17:31:57Z</cp:lastPrinted>
  <dcterms:created xsi:type="dcterms:W3CDTF">2013-01-19T12:53:12Z</dcterms:created>
  <dcterms:modified xsi:type="dcterms:W3CDTF">2014-03-15T07:28:30Z</dcterms:modified>
</cp:coreProperties>
</file>